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firstSheet="2" activeTab="2"/>
  </bookViews>
  <sheets>
    <sheet name="Rheinzink" sheetId="1" r:id="rId1"/>
    <sheet name="Brochureblad D" sheetId="2" state="hidden" r:id="rId2"/>
    <sheet name="Dimensioneringsark" sheetId="3" r:id="rId3"/>
    <sheet name="Inddata" sheetId="4" state="hidden" r:id="rId4"/>
  </sheets>
  <definedNames>
    <definedName name="_xlnm.Print_Area" localSheetId="2">'Dimensioneringsark'!$A$1:$L$65</definedName>
    <definedName name="_xlnm.Print_Area" localSheetId="0">'Rheinzink'!$A$36:$R$89</definedName>
  </definedNames>
  <calcPr fullCalcOnLoad="1"/>
</workbook>
</file>

<file path=xl/comments1.xml><?xml version="1.0" encoding="utf-8"?>
<comments xmlns="http://schemas.openxmlformats.org/spreadsheetml/2006/main">
  <authors>
    <author>Jeppe Bak</author>
  </authors>
  <commentList>
    <comment ref="P11" authorId="0">
      <text>
        <r>
          <rPr>
            <b/>
            <sz val="8"/>
            <rFont val="Tahoma"/>
            <family val="0"/>
          </rPr>
          <t>Jeppe Bak:</t>
        </r>
        <r>
          <rPr>
            <sz val="8"/>
            <rFont val="Tahoma"/>
            <family val="0"/>
          </rPr>
          <t xml:space="preserve">
I henhold til DIN 1986-100:2008-05</t>
        </r>
      </text>
    </comment>
    <comment ref="D13" authorId="0">
      <text>
        <r>
          <rPr>
            <b/>
            <sz val="8"/>
            <rFont val="Tahoma"/>
            <family val="2"/>
          </rPr>
          <t>Jeppe Bak:</t>
        </r>
        <r>
          <rPr>
            <sz val="8"/>
            <rFont val="Tahoma"/>
            <family val="2"/>
          </rPr>
          <t xml:space="preserve">
jf. produktionstegninger fra Lindab SE</t>
        </r>
      </text>
    </comment>
  </commentList>
</comments>
</file>

<file path=xl/sharedStrings.xml><?xml version="1.0" encoding="utf-8"?>
<sst xmlns="http://schemas.openxmlformats.org/spreadsheetml/2006/main" count="383" uniqueCount="206">
  <si>
    <t>π =</t>
  </si>
  <si>
    <t>d</t>
  </si>
  <si>
    <t>Lindab</t>
  </si>
  <si>
    <t>[mm]</t>
  </si>
  <si>
    <t>-</t>
  </si>
  <si>
    <t>Rheinzink</t>
  </si>
  <si>
    <t>%- vis forskel</t>
  </si>
  <si>
    <t xml:space="preserve">Rheinzink større </t>
  </si>
  <si>
    <t>end Lindab</t>
  </si>
  <si>
    <t>Nominel</t>
  </si>
  <si>
    <t>størrelse</t>
  </si>
  <si>
    <t>Sammenligning Rheinzink - Lindab</t>
  </si>
  <si>
    <t>A</t>
  </si>
  <si>
    <r>
      <t>[mm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]</t>
    </r>
  </si>
  <si>
    <t>NB! Hvis forkanten er under bagkantens niveau, så er det effektive areal naturligvis mindre end A herover.</t>
  </si>
  <si>
    <r>
      <t>d</t>
    </r>
    <r>
      <rPr>
        <vertAlign val="subscript"/>
        <sz val="11"/>
        <color indexed="8"/>
        <rFont val="Calibri"/>
        <family val="2"/>
      </rPr>
      <t>nom</t>
    </r>
  </si>
  <si>
    <t>diameter</t>
  </si>
  <si>
    <t>c-a</t>
  </si>
  <si>
    <t>v</t>
  </si>
  <si>
    <t>°</t>
  </si>
  <si>
    <t>Cirkelafsnit</t>
  </si>
  <si>
    <t>s</t>
  </si>
  <si>
    <t>DN</t>
  </si>
  <si>
    <t>korde</t>
  </si>
  <si>
    <t>a = W</t>
  </si>
  <si>
    <t>Kordelængde er stort set lig med diameter. Derfor anvendes diameteren i beregninger</t>
  </si>
  <si>
    <t>Odder 2010-03-24</t>
  </si>
  <si>
    <r>
      <t>[mm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</t>
    </r>
  </si>
  <si>
    <r>
      <t>Bestemmelse af rendens vandledningsevne i forhold til afstand til nedløbsrør. Fald på rende mellem 0</t>
    </r>
    <r>
      <rPr>
        <b/>
        <sz val="11"/>
        <color indexed="8"/>
        <rFont val="Calibri"/>
        <family val="2"/>
      </rPr>
      <t>° og 3°</t>
    </r>
    <r>
      <rPr>
        <b/>
        <sz val="11"/>
        <color indexed="8"/>
        <rFont val="Calibri"/>
        <family val="2"/>
      </rPr>
      <t>.</t>
    </r>
  </si>
  <si>
    <t>- jf. EN 12056-3:2000, Tabelle 6</t>
  </si>
  <si>
    <r>
      <t>F</t>
    </r>
    <r>
      <rPr>
        <vertAlign val="subscript"/>
        <sz val="11"/>
        <color indexed="8"/>
        <rFont val="Calibri"/>
        <family val="2"/>
      </rPr>
      <t>L</t>
    </r>
  </si>
  <si>
    <t>L/W</t>
  </si>
  <si>
    <t>Udledning af ligning for Abflussbeiwerte:</t>
  </si>
  <si>
    <t>Af grafen ser det ud til, at kurven er lineær fra FL = 1 til 0,8 og igen med fladere hældning fra 0,8 til 0,6</t>
  </si>
  <si>
    <t>- 1,0 til 0,8:</t>
  </si>
  <si>
    <t xml:space="preserve">α = </t>
  </si>
  <si>
    <t>y =</t>
  </si>
  <si>
    <t>- 0,8 til 0,6:</t>
  </si>
  <si>
    <t>W</t>
  </si>
  <si>
    <t>Beregning af Afløbskapacitet for Rheinzink render  i forhold til afstand til afløb</t>
  </si>
  <si>
    <t>Nennmass</t>
  </si>
  <si>
    <t>Rinnenlänge (= Länge vom Rinnenanfang bis zum Ablauf) in m</t>
  </si>
  <si>
    <t>Q          [l/s]</t>
  </si>
  <si>
    <t>AW =</t>
  </si>
  <si>
    <t>W=</t>
  </si>
  <si>
    <r>
      <t>F</t>
    </r>
    <r>
      <rPr>
        <vertAlign val="subscript"/>
        <sz val="11"/>
        <color indexed="8"/>
        <rFont val="Calibri"/>
        <family val="2"/>
      </rPr>
      <t>L</t>
    </r>
    <r>
      <rPr>
        <sz val="11"/>
        <color theme="1"/>
        <rFont val="Calibri"/>
        <family val="2"/>
      </rPr>
      <t xml:space="preserve"> =f(L/W)</t>
    </r>
  </si>
  <si>
    <t>Se DIN 1986-100:2008-05 - Anhang B</t>
  </si>
  <si>
    <t>Aflæst</t>
  </si>
  <si>
    <t>Ligning</t>
  </si>
  <si>
    <t>Se produktions- tegninger fra Lindab SE</t>
  </si>
  <si>
    <t>250 (105)</t>
  </si>
  <si>
    <t>280 (127)</t>
  </si>
  <si>
    <t>333 (153)</t>
  </si>
  <si>
    <t>400 (192)</t>
  </si>
  <si>
    <t>500 (250)</t>
  </si>
  <si>
    <t>Merkblatt ZVDH</t>
  </si>
  <si>
    <t>Beregning af Afløbskapacitet for Lindab tagrender  i forhold til afstand til afløb</t>
  </si>
  <si>
    <t>250 (107)</t>
  </si>
  <si>
    <t>280 (123)</t>
  </si>
  <si>
    <t>333 (155)</t>
  </si>
  <si>
    <r>
      <t>AW [mm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] =</t>
    </r>
  </si>
  <si>
    <t>W [mm] =</t>
  </si>
  <si>
    <r>
      <t>Q</t>
    </r>
    <r>
      <rPr>
        <vertAlign val="subscript"/>
        <sz val="11"/>
        <color indexed="8"/>
        <rFont val="Calibri"/>
        <family val="2"/>
      </rPr>
      <t>RWP</t>
    </r>
  </si>
  <si>
    <t>[l/s]</t>
  </si>
  <si>
    <t>FL</t>
  </si>
  <si>
    <t>AW [mm2] =</t>
  </si>
  <si>
    <t>dnom</t>
  </si>
  <si>
    <t>di</t>
  </si>
  <si>
    <t>QRWP</t>
  </si>
  <si>
    <t>[mm2]</t>
  </si>
  <si>
    <t>Beregning af afløbskapacitet for Lindab nedløbsrør efter DIN 12056-3:2000</t>
  </si>
  <si>
    <t>Lindab Fallleitungen</t>
  </si>
  <si>
    <t>100 (250)</t>
  </si>
  <si>
    <t>125 (280)</t>
  </si>
  <si>
    <t>150 (333)</t>
  </si>
  <si>
    <t>190 (400)</t>
  </si>
  <si>
    <r>
      <t>Q</t>
    </r>
    <r>
      <rPr>
        <b/>
        <vertAlign val="subscript"/>
        <sz val="11"/>
        <color indexed="8"/>
        <rFont val="Calibri"/>
        <family val="2"/>
      </rPr>
      <t xml:space="preserve">rinne   </t>
    </r>
    <r>
      <rPr>
        <b/>
        <sz val="11"/>
        <color indexed="8"/>
        <rFont val="Calibri"/>
        <family val="2"/>
      </rPr>
      <t>[l/s]</t>
    </r>
  </si>
  <si>
    <t>Abflussverhalten von halbrunden Lindab Rinnen und daran anschlies</t>
  </si>
  <si>
    <t>SBI 185:1997</t>
  </si>
  <si>
    <t>fra 1,0 til og med 0,8:</t>
  </si>
  <si>
    <t>fra &gt; 0,8 til og med 0,6:</t>
  </si>
  <si>
    <t>Aachen</t>
  </si>
  <si>
    <t>Aschaffenburg</t>
  </si>
  <si>
    <t>Augsburg</t>
  </si>
  <si>
    <t>Aurich</t>
  </si>
  <si>
    <t>Bad Kissingen</t>
  </si>
  <si>
    <t>Bad Salzuflen</t>
  </si>
  <si>
    <t>Bad Tölz</t>
  </si>
  <si>
    <t>l/s</t>
  </si>
  <si>
    <r>
      <t>r</t>
    </r>
    <r>
      <rPr>
        <vertAlign val="subscript"/>
        <sz val="11"/>
        <color indexed="8"/>
        <rFont val="Calibri"/>
        <family val="2"/>
      </rPr>
      <t>5/5</t>
    </r>
  </si>
  <si>
    <r>
      <t>r</t>
    </r>
    <r>
      <rPr>
        <vertAlign val="subscript"/>
        <sz val="11"/>
        <color indexed="8"/>
        <rFont val="Calibri"/>
        <family val="2"/>
      </rPr>
      <t>5/5</t>
    </r>
    <r>
      <rPr>
        <sz val="11"/>
        <color theme="1"/>
        <rFont val="Calibri"/>
        <family val="2"/>
      </rPr>
      <t xml:space="preserve"> =</t>
    </r>
  </si>
  <si>
    <t>osv.</t>
  </si>
  <si>
    <t>Bamberg</t>
  </si>
  <si>
    <t>Bayreut</t>
  </si>
  <si>
    <t>Berlin</t>
  </si>
  <si>
    <t>Bielefeld</t>
  </si>
  <si>
    <t>Bocholt</t>
  </si>
  <si>
    <t>Bonn</t>
  </si>
  <si>
    <t>Braunschweig</t>
  </si>
  <si>
    <t>Bremen</t>
  </si>
  <si>
    <t>Bremerhaven</t>
  </si>
  <si>
    <t>Chemnitz</t>
  </si>
  <si>
    <t>Cottbus</t>
  </si>
  <si>
    <t>Cuxhafen</t>
  </si>
  <si>
    <t>Dessau</t>
  </si>
  <si>
    <t>Dortmund</t>
  </si>
  <si>
    <t>Dresden</t>
  </si>
  <si>
    <t>Duisburg</t>
  </si>
  <si>
    <t>Düsseldorf</t>
  </si>
  <si>
    <t>Eisenach</t>
  </si>
  <si>
    <t>Emden</t>
  </si>
  <si>
    <t>Erfurt</t>
  </si>
  <si>
    <t>Erlangen</t>
  </si>
  <si>
    <t>Essen</t>
  </si>
  <si>
    <t>Frankfurt/Main</t>
  </si>
  <si>
    <t>Garmisch Partenkirchen</t>
  </si>
  <si>
    <t>Gera</t>
  </si>
  <si>
    <t>Göppingen</t>
  </si>
  <si>
    <t>Görlitz</t>
  </si>
  <si>
    <t>Göttingen</t>
  </si>
  <si>
    <t>Halle/Saale</t>
  </si>
  <si>
    <t>Hamburg</t>
  </si>
  <si>
    <t>Hamm</t>
  </si>
  <si>
    <t>Hanau</t>
  </si>
  <si>
    <t>Hannover</t>
  </si>
  <si>
    <t>Heidelberg</t>
  </si>
  <si>
    <t>Heilbronn</t>
  </si>
  <si>
    <t>Helmstedt</t>
  </si>
  <si>
    <t>Hildesheim</t>
  </si>
  <si>
    <t>Ingolstadt</t>
  </si>
  <si>
    <t>Kaiserlautern</t>
  </si>
  <si>
    <t>Karlsruhe</t>
  </si>
  <si>
    <t>Kassel</t>
  </si>
  <si>
    <t>Kiel</t>
  </si>
  <si>
    <t>Koblenz</t>
  </si>
  <si>
    <t>Köln</t>
  </si>
  <si>
    <t>Konstanz</t>
  </si>
  <si>
    <t>Leipzig</t>
  </si>
  <si>
    <t>Lindau</t>
  </si>
  <si>
    <t>Lingen</t>
  </si>
  <si>
    <t>Lübeck</t>
  </si>
  <si>
    <t>Lüdenscheid</t>
  </si>
  <si>
    <t>Magdeburg</t>
  </si>
  <si>
    <t>Mainz</t>
  </si>
  <si>
    <t>Mannheim</t>
  </si>
  <si>
    <t>Minden</t>
  </si>
  <si>
    <t>Mönchengladbach</t>
  </si>
  <si>
    <t>München</t>
  </si>
  <si>
    <t>Münster</t>
  </si>
  <si>
    <t>Neubrandenburg</t>
  </si>
  <si>
    <t>Neustadt/Weinstraβe</t>
  </si>
  <si>
    <t>Nürnberg</t>
  </si>
  <si>
    <t>Oberstdorf</t>
  </si>
  <si>
    <t>Osnabrück</t>
  </si>
  <si>
    <t>Paderborn</t>
  </si>
  <si>
    <t>Passau</t>
  </si>
  <si>
    <t>Pforzheim</t>
  </si>
  <si>
    <t>Pirmasens</t>
  </si>
  <si>
    <t>Regensburg</t>
  </si>
  <si>
    <t>Rosenheim</t>
  </si>
  <si>
    <t>Rostock</t>
  </si>
  <si>
    <t>Rüsselheim</t>
  </si>
  <si>
    <t>Saarbrücken</t>
  </si>
  <si>
    <t>Schweinfurt</t>
  </si>
  <si>
    <t>Schwerin</t>
  </si>
  <si>
    <t>Siegen</t>
  </si>
  <si>
    <t>Speyer</t>
  </si>
  <si>
    <t>Stuttgart</t>
  </si>
  <si>
    <t>Trier</t>
  </si>
  <si>
    <t>Ulm</t>
  </si>
  <si>
    <t>Villingen-                     Schwenningen</t>
  </si>
  <si>
    <t>Willingen/Upland</t>
  </si>
  <si>
    <t>Wittenberge</t>
  </si>
  <si>
    <t>Würzburg</t>
  </si>
  <si>
    <t>Zwickau</t>
  </si>
  <si>
    <t>Stadt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</si>
  <si>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</si>
  <si>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l/(s</t>
    </r>
    <r>
      <rPr>
        <sz val="11"/>
        <color indexed="8"/>
        <rFont val="Calibri"/>
        <family val="2"/>
      </rPr>
      <t>·ha)</t>
    </r>
  </si>
  <si>
    <r>
      <t>Q</t>
    </r>
    <r>
      <rPr>
        <vertAlign val="subscript"/>
        <sz val="11"/>
        <color indexed="8"/>
        <rFont val="Calibri"/>
        <family val="2"/>
      </rPr>
      <t>Rinne</t>
    </r>
  </si>
  <si>
    <t>Længde i m</t>
  </si>
  <si>
    <t>Bemessung von Lindab halbrunden Rinnen nach DIN 1986-100:2008-05</t>
  </si>
  <si>
    <t>1. Stadt aus der Liste wählen</t>
  </si>
  <si>
    <t>2. Länge der Dachrinne aus der Liste wählen:</t>
  </si>
  <si>
    <t>Berechnungsregen nach DIN 1986-100:2008-05, Punkt 14.2.2 wird hier unter angegeben</t>
  </si>
  <si>
    <t>Regenwassermenge in l/s wird berechnet</t>
  </si>
  <si>
    <t>4. Rinnengröβe wählen</t>
  </si>
  <si>
    <t>5. Gröβe des Fallrohrs wählen</t>
  </si>
  <si>
    <t>Anmerkung:</t>
  </si>
  <si>
    <t>Bei jeder  Richtungsänderung &gt; 10° muss das Abflussvermögen der Rinne um 15% reduziert werden.</t>
  </si>
  <si>
    <t>Tabelle 1: Abflussvermögen von Ablaufkombinationen - mit Rinneneinhangstutzen gemäß DIN 12056-3:2000</t>
  </si>
  <si>
    <t>Lindab Rinne</t>
  </si>
  <si>
    <t>Nennmaβ</t>
  </si>
  <si>
    <t>Q</t>
  </si>
  <si>
    <t>(l/s)</t>
  </si>
  <si>
    <r>
      <t>Regenwassermenge pro Fallrohr muss kleiner oder gleich Q</t>
    </r>
    <r>
      <rPr>
        <sz val="11"/>
        <color theme="1"/>
        <rFont val="Calibri"/>
        <family val="2"/>
      </rPr>
      <t xml:space="preserve"> sein</t>
    </r>
  </si>
  <si>
    <t xml:space="preserve">Wenn die Regenwasserfallleitung einen Verzug aufweist, muss das Gefälle mindestens 10°  zur Waagerechten </t>
  </si>
  <si>
    <t>(≥ 180 mm/m) sein.</t>
  </si>
  <si>
    <t>(Länge vom höchsten Punkt bis zum Ablauf/ Fallrohr in Meter)</t>
  </si>
  <si>
    <r>
      <t>3. Anzuschlieβende Fläche in m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angeben</t>
    </r>
  </si>
  <si>
    <r>
      <t>Fallleitung mit Rinnen- einhangsstutzen, d</t>
    </r>
    <r>
      <rPr>
        <b/>
        <vertAlign val="subscript"/>
        <sz val="10"/>
        <color indexed="8"/>
        <rFont val="Arial"/>
        <family val="2"/>
      </rPr>
      <t xml:space="preserve">i </t>
    </r>
    <r>
      <rPr>
        <b/>
        <sz val="10"/>
        <color indexed="8"/>
        <rFont val="Arial"/>
        <family val="2"/>
      </rPr>
      <t xml:space="preserve"> [mm]</t>
    </r>
  </si>
  <si>
    <t>Ein eventueller Laubfang über der Rinne vermindert die Ablaufsleistung um etwa 50%</t>
  </si>
  <si>
    <t>der Spitze der Kurve, "Q, Rinne" liegen)</t>
  </si>
  <si>
    <t>Im Diagramm  sieht man sofort welche Rinnengröβe, gewählt werden kann (Kurven, die über</t>
  </si>
  <si>
    <t>Dachfläche gleich B x L, waagerecht gemessen (siehe Bild 1).</t>
  </si>
  <si>
    <t>Anmerkung: Die anzuschlieβende Fläche versteht sich als die im Grundriss projizierte</t>
  </si>
  <si>
    <t>den 12.11.2010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</si>
</sst>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name val="Calibri"/>
      <family val="0"/>
    </font>
    <font>
      <b/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0" borderId="3" applyNumberFormat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50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" fontId="50" fillId="0" borderId="15" xfId="0" applyNumberFormat="1" applyFont="1" applyBorder="1" applyAlignment="1">
      <alignment horizontal="center"/>
    </xf>
    <xf numFmtId="1" fontId="50" fillId="0" borderId="16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50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21" xfId="0" applyFont="1" applyBorder="1" applyAlignment="1">
      <alignment horizontal="center"/>
    </xf>
    <xf numFmtId="2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2" fontId="0" fillId="0" borderId="22" xfId="0" applyNumberFormat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21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25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centerContinuous" wrapText="1"/>
    </xf>
    <xf numFmtId="0" fontId="0" fillId="0" borderId="26" xfId="0" applyBorder="1" applyAlignment="1">
      <alignment horizontal="centerContinuous"/>
    </xf>
    <xf numFmtId="164" fontId="55" fillId="0" borderId="26" xfId="0" applyNumberFormat="1" applyFont="1" applyBorder="1" applyAlignment="1">
      <alignment horizontal="center" wrapText="1"/>
    </xf>
    <xf numFmtId="0" fontId="52" fillId="0" borderId="0" xfId="0" applyFont="1" applyAlignment="1">
      <alignment vertical="center"/>
    </xf>
    <xf numFmtId="2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55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81"/>
          <c:h val="0.854"/>
        </c:manualLayout>
      </c:layout>
      <c:lineChart>
        <c:grouping val="standard"/>
        <c:varyColors val="0"/>
        <c:ser>
          <c:idx val="1"/>
          <c:order val="0"/>
          <c:tx>
            <c:v>Abflussbeiwerte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Rheinzink!$B$26:$T$26</c:f>
              <c:numCache/>
            </c:numRef>
          </c:cat>
          <c:val>
            <c:numRef>
              <c:f>Rheinzink!$B$27:$T$27</c:f>
              <c:numCache/>
            </c:numRef>
          </c:val>
          <c:smooth val="0"/>
        </c:ser>
        <c:marker val="1"/>
        <c:axId val="37333085"/>
        <c:axId val="453446"/>
      </c:lineChart>
      <c:catAx>
        <c:axId val="373330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446"/>
        <c:crosses val="autoZero"/>
        <c:auto val="1"/>
        <c:lblOffset val="100"/>
        <c:tickLblSkip val="2"/>
        <c:noMultiLvlLbl val="0"/>
      </c:catAx>
      <c:valAx>
        <c:axId val="453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33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527"/>
          <c:w val="0.2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Abflussvermögen  von Lindab halbrunden Rinnen</a:t>
            </a:r>
          </a:p>
        </c:rich>
      </c:tx>
      <c:layout>
        <c:manualLayout>
          <c:xMode val="factor"/>
          <c:yMode val="factor"/>
          <c:x val="-0.003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1825"/>
          <c:w val="0.68775"/>
          <c:h val="0.69325"/>
        </c:manualLayout>
      </c:layout>
      <c:lineChart>
        <c:grouping val="standard"/>
        <c:varyColors val="0"/>
        <c:ser>
          <c:idx val="0"/>
          <c:order val="0"/>
          <c:tx>
            <c:v>Lindab 100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'Brochureblad D'!$C$80:$V$80</c:f>
              <c:numCache/>
            </c:numRef>
          </c:cat>
          <c:val>
            <c:numRef>
              <c:f>'Brochureblad D'!$C$81:$T$81</c:f>
              <c:numCache/>
            </c:numRef>
          </c:val>
          <c:smooth val="0"/>
        </c:ser>
        <c:ser>
          <c:idx val="1"/>
          <c:order val="1"/>
          <c:tx>
            <c:v>Lindab 125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'Brochureblad D'!$C$80:$V$80</c:f>
              <c:numCache/>
            </c:numRef>
          </c:cat>
          <c:val>
            <c:numRef>
              <c:f>'Brochureblad D'!$C$91:$T$91</c:f>
              <c:numCache/>
            </c:numRef>
          </c:val>
          <c:smooth val="0"/>
        </c:ser>
        <c:ser>
          <c:idx val="2"/>
          <c:order val="2"/>
          <c:tx>
            <c:v>Lindab 150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'Brochureblad D'!$C$80:$V$80</c:f>
              <c:numCache/>
            </c:numRef>
          </c:cat>
          <c:val>
            <c:numRef>
              <c:f>'Brochureblad D'!$C$101:$T$101</c:f>
              <c:numCache/>
            </c:numRef>
          </c:val>
          <c:smooth val="0"/>
        </c:ser>
        <c:ser>
          <c:idx val="3"/>
          <c:order val="3"/>
          <c:tx>
            <c:v>Lindab 190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'Brochureblad D'!$C$80:$V$80</c:f>
              <c:numCache/>
            </c:numRef>
          </c:cat>
          <c:val>
            <c:numRef>
              <c:f>'Brochureblad D'!$C$111:$T$111</c:f>
              <c:numCache/>
            </c:numRef>
          </c:val>
          <c:smooth val="0"/>
        </c:ser>
        <c:marker val="1"/>
        <c:axId val="4081015"/>
        <c:axId val="36729136"/>
      </c:lineChart>
      <c:catAx>
        <c:axId val="40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Entwässerungslänge in der Rinne, L in m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crossAx val="36729136"/>
        <c:crosses val="autoZero"/>
        <c:auto val="1"/>
        <c:lblOffset val="100"/>
        <c:tickLblSkip val="1"/>
        <c:noMultiLvlLbl val="0"/>
      </c:catAx>
      <c:valAx>
        <c:axId val="36729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Abflussvermögen von halbrunden Rinnen in l/s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4575"/>
          <c:w val="0.192"/>
          <c:h val="0.29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Anschließbare Niederschlagsflächen pro Rinnenlänge bei einer regenspende von 300 l/s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8175"/>
          <c:w val="0.7435"/>
          <c:h val="0.74475"/>
        </c:manualLayout>
      </c:layout>
      <c:lineChart>
        <c:grouping val="standard"/>
        <c:varyColors val="0"/>
        <c:ser>
          <c:idx val="0"/>
          <c:order val="0"/>
          <c:tx>
            <c:v>Lindab 100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'Brochureblad D'!$C$80:$V$80</c:f>
              <c:numCache/>
            </c:numRef>
          </c:cat>
          <c:val>
            <c:numRef>
              <c:f>'Brochureblad D'!$C$88:$T$88</c:f>
              <c:numCache/>
            </c:numRef>
          </c:val>
          <c:smooth val="0"/>
        </c:ser>
        <c:ser>
          <c:idx val="1"/>
          <c:order val="1"/>
          <c:tx>
            <c:v>Lindab 125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'Brochureblad D'!$C$80:$V$80</c:f>
              <c:numCache/>
            </c:numRef>
          </c:cat>
          <c:val>
            <c:numRef>
              <c:f>'Brochureblad D'!$C$98:$T$98</c:f>
              <c:numCache/>
            </c:numRef>
          </c:val>
          <c:smooth val="0"/>
        </c:ser>
        <c:ser>
          <c:idx val="2"/>
          <c:order val="2"/>
          <c:tx>
            <c:v>Lindab 150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'Brochureblad D'!$C$80:$V$80</c:f>
              <c:numCache/>
            </c:numRef>
          </c:cat>
          <c:val>
            <c:numRef>
              <c:f>'Brochureblad D'!$C$108:$T$108</c:f>
              <c:numCache/>
            </c:numRef>
          </c:val>
          <c:smooth val="0"/>
        </c:ser>
        <c:ser>
          <c:idx val="3"/>
          <c:order val="3"/>
          <c:tx>
            <c:v>Lindab 190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'Brochureblad D'!$C$80:$V$80</c:f>
              <c:numCache/>
            </c:numRef>
          </c:cat>
          <c:val>
            <c:numRef>
              <c:f>'Brochureblad D'!$C$118:$T$118</c:f>
              <c:numCache/>
            </c:numRef>
          </c:val>
          <c:smooth val="0"/>
        </c:ser>
        <c:marker val="1"/>
        <c:axId val="62126769"/>
        <c:axId val="22270010"/>
      </c:lineChart>
      <c:catAx>
        <c:axId val="6212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Entwässerungslänge in der Rinne, L in m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crossAx val="22270010"/>
        <c:crosses val="autoZero"/>
        <c:auto val="1"/>
        <c:lblOffset val="100"/>
        <c:tickLblSkip val="1"/>
        <c:noMultiLvlLbl val="0"/>
      </c:catAx>
      <c:valAx>
        <c:axId val="22270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Anschließbare Niederschlagsfläche in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7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6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4645"/>
          <c:w val="0.17475"/>
          <c:h val="0.2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Abflussvermögen  von Lindab halbrunden Rinnen</a:t>
            </a:r>
          </a:p>
        </c:rich>
      </c:tx>
      <c:layout>
        <c:manualLayout>
          <c:xMode val="factor"/>
          <c:yMode val="factor"/>
          <c:x val="0.01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204"/>
          <c:w val="0.722"/>
          <c:h val="0.71325"/>
        </c:manualLayout>
      </c:layout>
      <c:lineChart>
        <c:grouping val="standard"/>
        <c:varyColors val="0"/>
        <c:ser>
          <c:idx val="0"/>
          <c:order val="0"/>
          <c:tx>
            <c:v>Lindab 100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Inddata!$C$110:$AK$110</c:f>
              <c:numCache>
                <c:ptCount val="3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</c:numCache>
            </c:numRef>
          </c:cat>
          <c:val>
            <c:numRef>
              <c:f>Inddata!$C$111:$AK$111</c:f>
              <c:numCache>
                <c:ptCount val="35"/>
                <c:pt idx="0">
                  <c:v>0.8147758652334287</c:v>
                </c:pt>
                <c:pt idx="1">
                  <c:v>0.8046418370588836</c:v>
                </c:pt>
                <c:pt idx="2">
                  <c:v>0.7945078088843384</c:v>
                </c:pt>
                <c:pt idx="3">
                  <c:v>0.7843737807097934</c:v>
                </c:pt>
                <c:pt idx="4">
                  <c:v>0.7742397525352481</c:v>
                </c:pt>
                <c:pt idx="5">
                  <c:v>0.764105724360703</c:v>
                </c:pt>
                <c:pt idx="6">
                  <c:v>0.7539716961861579</c:v>
                </c:pt>
                <c:pt idx="7">
                  <c:v>0.7438376680116128</c:v>
                </c:pt>
                <c:pt idx="8">
                  <c:v>0.7337036398370677</c:v>
                </c:pt>
                <c:pt idx="9">
                  <c:v>0.7235696116625225</c:v>
                </c:pt>
                <c:pt idx="10">
                  <c:v>0.7134355834879773</c:v>
                </c:pt>
                <c:pt idx="11">
                  <c:v>0.7033015553134323</c:v>
                </c:pt>
                <c:pt idx="12">
                  <c:v>0.6931675271388872</c:v>
                </c:pt>
                <c:pt idx="13">
                  <c:v>0.683033498964342</c:v>
                </c:pt>
                <c:pt idx="14">
                  <c:v>0.6728994707897968</c:v>
                </c:pt>
                <c:pt idx="15">
                  <c:v>0.6627654426152517</c:v>
                </c:pt>
                <c:pt idx="16">
                  <c:v>0.6546582200756157</c:v>
                </c:pt>
                <c:pt idx="17">
                  <c:v>0.6495912059883431</c:v>
                </c:pt>
                <c:pt idx="18">
                  <c:v>0.6445241919010705</c:v>
                </c:pt>
                <c:pt idx="19">
                  <c:v>0.6394571778137979</c:v>
                </c:pt>
                <c:pt idx="20">
                  <c:v>0.6343901637265253</c:v>
                </c:pt>
                <c:pt idx="21">
                  <c:v>0.6293231496392528</c:v>
                </c:pt>
                <c:pt idx="22">
                  <c:v>0.6242561355519802</c:v>
                </c:pt>
                <c:pt idx="23">
                  <c:v>0.6191891214647076</c:v>
                </c:pt>
                <c:pt idx="24">
                  <c:v>0.6141221073774351</c:v>
                </c:pt>
                <c:pt idx="25">
                  <c:v>0.6090550932901625</c:v>
                </c:pt>
                <c:pt idx="26">
                  <c:v>0.6039880792028899</c:v>
                </c:pt>
                <c:pt idx="27">
                  <c:v>0.5989210651156174</c:v>
                </c:pt>
                <c:pt idx="28">
                  <c:v>0.5938540510283448</c:v>
                </c:pt>
                <c:pt idx="29">
                  <c:v>0.5887870369410723</c:v>
                </c:pt>
                <c:pt idx="30">
                  <c:v>0.5837200228537996</c:v>
                </c:pt>
                <c:pt idx="31">
                  <c:v>0.578653008766527</c:v>
                </c:pt>
                <c:pt idx="32">
                  <c:v>0.5735859946792545</c:v>
                </c:pt>
                <c:pt idx="33">
                  <c:v>0.568518980591982</c:v>
                </c:pt>
                <c:pt idx="34">
                  <c:v>0.5634519665047094</c:v>
                </c:pt>
              </c:numCache>
            </c:numRef>
          </c:val>
          <c:smooth val="0"/>
        </c:ser>
        <c:ser>
          <c:idx val="1"/>
          <c:order val="1"/>
          <c:tx>
            <c:v>Lindab 125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Inddata!$C$110:$AK$110</c:f>
              <c:numCache>
                <c:ptCount val="3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</c:numCache>
            </c:numRef>
          </c:cat>
          <c:val>
            <c:numRef>
              <c:f>Inddata!$C$121:$AK$121</c:f>
              <c:numCache>
                <c:ptCount val="35"/>
                <c:pt idx="0">
                  <c:v>1.1850608945825893</c:v>
                </c:pt>
                <c:pt idx="1">
                  <c:v>1.1748668223711263</c:v>
                </c:pt>
                <c:pt idx="2">
                  <c:v>1.1621242321067973</c:v>
                </c:pt>
                <c:pt idx="3">
                  <c:v>1.1493816418424683</c:v>
                </c:pt>
                <c:pt idx="4">
                  <c:v>1.1366390515781395</c:v>
                </c:pt>
                <c:pt idx="5">
                  <c:v>1.1238964613138105</c:v>
                </c:pt>
                <c:pt idx="6">
                  <c:v>1.1111538710494817</c:v>
                </c:pt>
                <c:pt idx="7">
                  <c:v>1.0984112807851527</c:v>
                </c:pt>
                <c:pt idx="8">
                  <c:v>1.0856686905208237</c:v>
                </c:pt>
                <c:pt idx="9">
                  <c:v>1.072926100256495</c:v>
                </c:pt>
                <c:pt idx="10">
                  <c:v>1.060183509992166</c:v>
                </c:pt>
                <c:pt idx="11">
                  <c:v>1.0474409197278371</c:v>
                </c:pt>
                <c:pt idx="12">
                  <c:v>1.0346983294635081</c:v>
                </c:pt>
                <c:pt idx="13">
                  <c:v>1.0219557391991794</c:v>
                </c:pt>
                <c:pt idx="14">
                  <c:v>1.0092131489348504</c:v>
                </c:pt>
                <c:pt idx="15">
                  <c:v>0.9964705586705215</c:v>
                </c:pt>
                <c:pt idx="16">
                  <c:v>0.9837279684061926</c:v>
                </c:pt>
                <c:pt idx="17">
                  <c:v>0.9709853781418636</c:v>
                </c:pt>
                <c:pt idx="18">
                  <c:v>0.9582427878775346</c:v>
                </c:pt>
                <c:pt idx="19">
                  <c:v>0.9467744566396387</c:v>
                </c:pt>
                <c:pt idx="20">
                  <c:v>0.9404031615074742</c:v>
                </c:pt>
                <c:pt idx="21">
                  <c:v>0.9340318663753097</c:v>
                </c:pt>
                <c:pt idx="22">
                  <c:v>0.9276605712431453</c:v>
                </c:pt>
                <c:pt idx="23">
                  <c:v>0.9212892761109808</c:v>
                </c:pt>
                <c:pt idx="24">
                  <c:v>0.9149179809788164</c:v>
                </c:pt>
                <c:pt idx="25">
                  <c:v>0.9085466858466519</c:v>
                </c:pt>
                <c:pt idx="26">
                  <c:v>0.9021753907144875</c:v>
                </c:pt>
                <c:pt idx="27">
                  <c:v>0.895804095582323</c:v>
                </c:pt>
                <c:pt idx="28">
                  <c:v>0.8894328004501585</c:v>
                </c:pt>
                <c:pt idx="29">
                  <c:v>0.8830615053179941</c:v>
                </c:pt>
                <c:pt idx="30">
                  <c:v>0.8766902101858296</c:v>
                </c:pt>
                <c:pt idx="31">
                  <c:v>0.8703189150536652</c:v>
                </c:pt>
                <c:pt idx="32">
                  <c:v>0.8639476199215006</c:v>
                </c:pt>
                <c:pt idx="33">
                  <c:v>0.8575763247893361</c:v>
                </c:pt>
                <c:pt idx="34">
                  <c:v>0.8512050296571717</c:v>
                </c:pt>
              </c:numCache>
            </c:numRef>
          </c:val>
          <c:smooth val="0"/>
        </c:ser>
        <c:ser>
          <c:idx val="2"/>
          <c:order val="2"/>
          <c:tx>
            <c:v>Lindab 150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Inddata!$C$110:$AK$110</c:f>
              <c:numCache>
                <c:ptCount val="3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</c:numCache>
            </c:numRef>
          </c:cat>
          <c:val>
            <c:numRef>
              <c:f>Inddata!$C$131:$AK$131</c:f>
              <c:numCache>
                <c:ptCount val="35"/>
                <c:pt idx="0">
                  <c:v>2.1628420954166</c:v>
                </c:pt>
                <c:pt idx="1">
                  <c:v>2.1628420954166</c:v>
                </c:pt>
                <c:pt idx="2">
                  <c:v>2.1591449294415286</c:v>
                </c:pt>
                <c:pt idx="3">
                  <c:v>2.1406590995661734</c:v>
                </c:pt>
                <c:pt idx="4">
                  <c:v>2.1221732696908178</c:v>
                </c:pt>
                <c:pt idx="5">
                  <c:v>2.103687439815462</c:v>
                </c:pt>
                <c:pt idx="6">
                  <c:v>2.0852016099401065</c:v>
                </c:pt>
                <c:pt idx="7">
                  <c:v>2.0667157800647513</c:v>
                </c:pt>
                <c:pt idx="8">
                  <c:v>2.0482299501893952</c:v>
                </c:pt>
                <c:pt idx="9">
                  <c:v>2.02974412031404</c:v>
                </c:pt>
                <c:pt idx="10">
                  <c:v>2.0112582904386844</c:v>
                </c:pt>
                <c:pt idx="11">
                  <c:v>1.992772460563329</c:v>
                </c:pt>
                <c:pt idx="12">
                  <c:v>1.9742866306879732</c:v>
                </c:pt>
                <c:pt idx="13">
                  <c:v>1.9558008008126178</c:v>
                </c:pt>
                <c:pt idx="14">
                  <c:v>1.9373149709372621</c:v>
                </c:pt>
                <c:pt idx="15">
                  <c:v>1.9188291410619067</c:v>
                </c:pt>
                <c:pt idx="16">
                  <c:v>1.900343311186551</c:v>
                </c:pt>
                <c:pt idx="17">
                  <c:v>1.8818574813111955</c:v>
                </c:pt>
                <c:pt idx="18">
                  <c:v>1.86337165143584</c:v>
                </c:pt>
                <c:pt idx="19">
                  <c:v>1.8448858215604844</c:v>
                </c:pt>
                <c:pt idx="20">
                  <c:v>1.826399991685129</c:v>
                </c:pt>
                <c:pt idx="21">
                  <c:v>1.8079141618097734</c:v>
                </c:pt>
                <c:pt idx="22">
                  <c:v>1.7894283319344177</c:v>
                </c:pt>
                <c:pt idx="23">
                  <c:v>1.7709425020590623</c:v>
                </c:pt>
                <c:pt idx="24">
                  <c:v>1.7524566721837065</c:v>
                </c:pt>
                <c:pt idx="25">
                  <c:v>1.733970842308351</c:v>
                </c:pt>
                <c:pt idx="26">
                  <c:v>1.7228793443831378</c:v>
                </c:pt>
                <c:pt idx="27">
                  <c:v>1.71363642944546</c:v>
                </c:pt>
                <c:pt idx="28">
                  <c:v>1.7043935145077824</c:v>
                </c:pt>
                <c:pt idx="29">
                  <c:v>1.6951505995701044</c:v>
                </c:pt>
                <c:pt idx="30">
                  <c:v>1.6859076846324266</c:v>
                </c:pt>
                <c:pt idx="31">
                  <c:v>1.6766647696947488</c:v>
                </c:pt>
                <c:pt idx="32">
                  <c:v>1.6674218547570712</c:v>
                </c:pt>
                <c:pt idx="33">
                  <c:v>1.6581789398193933</c:v>
                </c:pt>
                <c:pt idx="34">
                  <c:v>1.6489360248817155</c:v>
                </c:pt>
              </c:numCache>
            </c:numRef>
          </c:val>
          <c:smooth val="0"/>
        </c:ser>
        <c:ser>
          <c:idx val="3"/>
          <c:order val="3"/>
          <c:tx>
            <c:v>Lindab 190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Inddata!$C$110:$AK$110</c:f>
              <c:numCache>
                <c:ptCount val="3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</c:numCache>
            </c:numRef>
          </c:cat>
          <c:val>
            <c:numRef>
              <c:f>Inddata!$C$141:$AK$141</c:f>
              <c:numCache>
                <c:ptCount val="35"/>
                <c:pt idx="0">
                  <c:v>4.57278806430645</c:v>
                </c:pt>
                <c:pt idx="1">
                  <c:v>4.57278806430645</c:v>
                </c:pt>
                <c:pt idx="2">
                  <c:v>4.57278806430645</c:v>
                </c:pt>
                <c:pt idx="3">
                  <c:v>4.57278806430645</c:v>
                </c:pt>
                <c:pt idx="4">
                  <c:v>4.57278806430645</c:v>
                </c:pt>
                <c:pt idx="5">
                  <c:v>4.558271276800715</c:v>
                </c:pt>
                <c:pt idx="6">
                  <c:v>4.529237701789246</c:v>
                </c:pt>
                <c:pt idx="7">
                  <c:v>4.500204126777777</c:v>
                </c:pt>
                <c:pt idx="8">
                  <c:v>4.471170551766306</c:v>
                </c:pt>
                <c:pt idx="9">
                  <c:v>4.4421369767548375</c:v>
                </c:pt>
                <c:pt idx="10">
                  <c:v>4.413103401743368</c:v>
                </c:pt>
                <c:pt idx="11">
                  <c:v>4.384069826731898</c:v>
                </c:pt>
                <c:pt idx="12">
                  <c:v>4.355036251720429</c:v>
                </c:pt>
                <c:pt idx="13">
                  <c:v>4.326002676708959</c:v>
                </c:pt>
                <c:pt idx="14">
                  <c:v>4.296969101697489</c:v>
                </c:pt>
                <c:pt idx="15">
                  <c:v>4.26793552668602</c:v>
                </c:pt>
                <c:pt idx="16">
                  <c:v>4.238901951674551</c:v>
                </c:pt>
                <c:pt idx="17">
                  <c:v>4.209868376663081</c:v>
                </c:pt>
                <c:pt idx="18">
                  <c:v>4.180834801651612</c:v>
                </c:pt>
                <c:pt idx="19">
                  <c:v>4.151801226640142</c:v>
                </c:pt>
                <c:pt idx="20">
                  <c:v>4.122767651628672</c:v>
                </c:pt>
                <c:pt idx="21">
                  <c:v>4.093734076617203</c:v>
                </c:pt>
                <c:pt idx="22">
                  <c:v>4.064700501605733</c:v>
                </c:pt>
                <c:pt idx="23">
                  <c:v>4.0356669265942635</c:v>
                </c:pt>
                <c:pt idx="24">
                  <c:v>4.006633351582794</c:v>
                </c:pt>
                <c:pt idx="25">
                  <c:v>3.9775997765713247</c:v>
                </c:pt>
                <c:pt idx="26">
                  <c:v>3.9485662015598555</c:v>
                </c:pt>
                <c:pt idx="27">
                  <c:v>3.919532626548386</c:v>
                </c:pt>
                <c:pt idx="28">
                  <c:v>3.8904990515369167</c:v>
                </c:pt>
                <c:pt idx="29">
                  <c:v>3.861465476525447</c:v>
                </c:pt>
                <c:pt idx="30">
                  <c:v>3.8324319015139774</c:v>
                </c:pt>
                <c:pt idx="31">
                  <c:v>3.8033983265025078</c:v>
                </c:pt>
                <c:pt idx="32">
                  <c:v>3.774364751491038</c:v>
                </c:pt>
                <c:pt idx="33">
                  <c:v>3.7453311764795685</c:v>
                </c:pt>
                <c:pt idx="34">
                  <c:v>3.716297601468099</c:v>
                </c:pt>
              </c:numCache>
            </c:numRef>
          </c:val>
          <c:smooth val="0"/>
        </c:ser>
        <c:ser>
          <c:idx val="4"/>
          <c:order val="4"/>
          <c:tx>
            <c:v>Q,Rinne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Inddata!$C$110:$AK$110</c:f>
              <c:numCache>
                <c:ptCount val="3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</c:numCache>
            </c:numRef>
          </c:cat>
          <c:val>
            <c:numRef>
              <c:f>Inddata!$C$151:$AK$151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marker val="1"/>
        <c:axId val="66212363"/>
        <c:axId val="59040356"/>
      </c:lineChart>
      <c:catAx>
        <c:axId val="6621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Entwässerungslänge in der Rinne, L in m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crossAx val="59040356"/>
        <c:crosses val="autoZero"/>
        <c:auto val="1"/>
        <c:lblOffset val="100"/>
        <c:tickLblSkip val="2"/>
        <c:noMultiLvlLbl val="0"/>
      </c:catAx>
      <c:valAx>
        <c:axId val="5904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Abflussvermögen von halbrunden Rinnen in l/s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2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"/>
          <c:y val="0.42475"/>
          <c:w val="0.18825"/>
          <c:h val="0.3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4</xdr:row>
      <xdr:rowOff>57150</xdr:rowOff>
    </xdr:from>
    <xdr:to>
      <xdr:col>4</xdr:col>
      <xdr:colOff>180975</xdr:colOff>
      <xdr:row>9</xdr:row>
      <xdr:rowOff>0</xdr:rowOff>
    </xdr:to>
    <xdr:sp>
      <xdr:nvSpPr>
        <xdr:cNvPr id="1" name="Cirkel 1"/>
        <xdr:cNvSpPr>
          <a:spLocks/>
        </xdr:cNvSpPr>
      </xdr:nvSpPr>
      <xdr:spPr>
        <a:xfrm rot="21343410">
          <a:off x="1790700" y="866775"/>
          <a:ext cx="1123950" cy="895350"/>
        </a:xfrm>
        <a:custGeom>
          <a:pathLst>
            <a:path h="896106" w="962025">
              <a:moveTo>
                <a:pt x="962025" y="447887"/>
              </a:moveTo>
              <a:cubicBezTo>
                <a:pt x="962025" y="695013"/>
                <a:pt x="747062" y="895442"/>
                <a:pt x="481658" y="895774"/>
              </a:cubicBezTo>
              <a:cubicBezTo>
                <a:pt x="216332" y="896106"/>
                <a:pt x="823" y="696328"/>
                <a:pt x="1" y="449275"/>
              </a:cubicBezTo>
              <a:lnTo>
                <a:pt x="481013" y="447887"/>
              </a:lnTo>
              <a:lnTo>
                <a:pt x="962025" y="447887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6</xdr:row>
      <xdr:rowOff>66675</xdr:rowOff>
    </xdr:from>
    <xdr:to>
      <xdr:col>4</xdr:col>
      <xdr:colOff>542925</xdr:colOff>
      <xdr:row>6</xdr:row>
      <xdr:rowOff>66675</xdr:rowOff>
    </xdr:to>
    <xdr:sp>
      <xdr:nvSpPr>
        <xdr:cNvPr id="2" name="Lige forbindelse 4"/>
        <xdr:cNvSpPr>
          <a:spLocks/>
        </xdr:cNvSpPr>
      </xdr:nvSpPr>
      <xdr:spPr>
        <a:xfrm rot="10800000" flipV="1">
          <a:off x="1876425" y="1257300"/>
          <a:ext cx="1400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161925</xdr:rowOff>
    </xdr:from>
    <xdr:to>
      <xdr:col>2</xdr:col>
      <xdr:colOff>438150</xdr:colOff>
      <xdr:row>6</xdr:row>
      <xdr:rowOff>161925</xdr:rowOff>
    </xdr:to>
    <xdr:sp>
      <xdr:nvSpPr>
        <xdr:cNvPr id="3" name="Lige forbindelse 6"/>
        <xdr:cNvSpPr>
          <a:spLocks/>
        </xdr:cNvSpPr>
      </xdr:nvSpPr>
      <xdr:spPr>
        <a:xfrm rot="10800000" flipV="1">
          <a:off x="1209675" y="1352550"/>
          <a:ext cx="581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190500</xdr:rowOff>
    </xdr:from>
    <xdr:to>
      <xdr:col>4</xdr:col>
      <xdr:colOff>314325</xdr:colOff>
      <xdr:row>9</xdr:row>
      <xdr:rowOff>0</xdr:rowOff>
    </xdr:to>
    <xdr:sp>
      <xdr:nvSpPr>
        <xdr:cNvPr id="4" name="Lige forbindelse 9"/>
        <xdr:cNvSpPr>
          <a:spLocks/>
        </xdr:cNvSpPr>
      </xdr:nvSpPr>
      <xdr:spPr>
        <a:xfrm rot="16200000" flipH="1">
          <a:off x="1609725" y="1762125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6</xdr:row>
      <xdr:rowOff>180975</xdr:rowOff>
    </xdr:from>
    <xdr:to>
      <xdr:col>2</xdr:col>
      <xdr:colOff>123825</xdr:colOff>
      <xdr:row>9</xdr:row>
      <xdr:rowOff>9525</xdr:rowOff>
    </xdr:to>
    <xdr:sp>
      <xdr:nvSpPr>
        <xdr:cNvPr id="5" name="Lige pilforbindelse 13"/>
        <xdr:cNvSpPr>
          <a:spLocks/>
        </xdr:cNvSpPr>
      </xdr:nvSpPr>
      <xdr:spPr>
        <a:xfrm rot="5400000">
          <a:off x="1466850" y="1371600"/>
          <a:ext cx="9525" cy="400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57150</xdr:rowOff>
    </xdr:from>
    <xdr:to>
      <xdr:col>4</xdr:col>
      <xdr:colOff>352425</xdr:colOff>
      <xdr:row>9</xdr:row>
      <xdr:rowOff>28575</xdr:rowOff>
    </xdr:to>
    <xdr:sp>
      <xdr:nvSpPr>
        <xdr:cNvPr id="6" name="Lige pilforbindelse 14"/>
        <xdr:cNvSpPr>
          <a:spLocks/>
        </xdr:cNvSpPr>
      </xdr:nvSpPr>
      <xdr:spPr>
        <a:xfrm rot="5400000">
          <a:off x="3076575" y="1247775"/>
          <a:ext cx="9525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114300</xdr:rowOff>
    </xdr:from>
    <xdr:to>
      <xdr:col>1</xdr:col>
      <xdr:colOff>590550</xdr:colOff>
      <xdr:row>8</xdr:row>
      <xdr:rowOff>152400</xdr:rowOff>
    </xdr:to>
    <xdr:sp>
      <xdr:nvSpPr>
        <xdr:cNvPr id="7" name="Tekstboks 16"/>
        <xdr:cNvSpPr txBox="1">
          <a:spLocks noChangeArrowheads="1"/>
        </xdr:cNvSpPr>
      </xdr:nvSpPr>
      <xdr:spPr>
        <a:xfrm>
          <a:off x="1085850" y="1495425"/>
          <a:ext cx="200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4</xdr:col>
      <xdr:colOff>390525</xdr:colOff>
      <xdr:row>7</xdr:row>
      <xdr:rowOff>28575</xdr:rowOff>
    </xdr:from>
    <xdr:to>
      <xdr:col>4</xdr:col>
      <xdr:colOff>590550</xdr:colOff>
      <xdr:row>8</xdr:row>
      <xdr:rowOff>66675</xdr:rowOff>
    </xdr:to>
    <xdr:sp>
      <xdr:nvSpPr>
        <xdr:cNvPr id="8" name="Tekstboks 17"/>
        <xdr:cNvSpPr txBox="1">
          <a:spLocks noChangeArrowheads="1"/>
        </xdr:cNvSpPr>
      </xdr:nvSpPr>
      <xdr:spPr>
        <a:xfrm>
          <a:off x="3124200" y="1409700"/>
          <a:ext cx="200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2</xdr:col>
      <xdr:colOff>333375</xdr:colOff>
      <xdr:row>6</xdr:row>
      <xdr:rowOff>152400</xdr:rowOff>
    </xdr:from>
    <xdr:to>
      <xdr:col>2</xdr:col>
      <xdr:colOff>438150</xdr:colOff>
      <xdr:row>7</xdr:row>
      <xdr:rowOff>85725</xdr:rowOff>
    </xdr:to>
    <xdr:sp>
      <xdr:nvSpPr>
        <xdr:cNvPr id="9" name="Ellipse 18"/>
        <xdr:cNvSpPr>
          <a:spLocks/>
        </xdr:cNvSpPr>
      </xdr:nvSpPr>
      <xdr:spPr>
        <a:xfrm>
          <a:off x="1685925" y="1343025"/>
          <a:ext cx="104775" cy="1238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5</xdr:row>
      <xdr:rowOff>152400</xdr:rowOff>
    </xdr:from>
    <xdr:to>
      <xdr:col>2</xdr:col>
      <xdr:colOff>419100</xdr:colOff>
      <xdr:row>6</xdr:row>
      <xdr:rowOff>171450</xdr:rowOff>
    </xdr:to>
    <xdr:sp>
      <xdr:nvSpPr>
        <xdr:cNvPr id="10" name="Lige forbindelse 20"/>
        <xdr:cNvSpPr>
          <a:spLocks/>
        </xdr:cNvSpPr>
      </xdr:nvSpPr>
      <xdr:spPr>
        <a:xfrm rot="16200000" flipV="1">
          <a:off x="1771650" y="115252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76200</xdr:rowOff>
    </xdr:from>
    <xdr:to>
      <xdr:col>4</xdr:col>
      <xdr:colOff>171450</xdr:colOff>
      <xdr:row>6</xdr:row>
      <xdr:rowOff>95250</xdr:rowOff>
    </xdr:to>
    <xdr:sp>
      <xdr:nvSpPr>
        <xdr:cNvPr id="11" name="Lige forbindelse 24"/>
        <xdr:cNvSpPr>
          <a:spLocks/>
        </xdr:cNvSpPr>
      </xdr:nvSpPr>
      <xdr:spPr>
        <a:xfrm rot="16200000" flipV="1">
          <a:off x="2905125" y="107632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4</xdr:row>
      <xdr:rowOff>180975</xdr:rowOff>
    </xdr:from>
    <xdr:to>
      <xdr:col>4</xdr:col>
      <xdr:colOff>190500</xdr:colOff>
      <xdr:row>4</xdr:row>
      <xdr:rowOff>180975</xdr:rowOff>
    </xdr:to>
    <xdr:sp>
      <xdr:nvSpPr>
        <xdr:cNvPr id="12" name="Lige pilforbindelse 26"/>
        <xdr:cNvSpPr>
          <a:spLocks/>
        </xdr:cNvSpPr>
      </xdr:nvSpPr>
      <xdr:spPr>
        <a:xfrm>
          <a:off x="1781175" y="990600"/>
          <a:ext cx="1143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3</xdr:row>
      <xdr:rowOff>95250</xdr:rowOff>
    </xdr:from>
    <xdr:to>
      <xdr:col>3</xdr:col>
      <xdr:colOff>428625</xdr:colOff>
      <xdr:row>4</xdr:row>
      <xdr:rowOff>133350</xdr:rowOff>
    </xdr:to>
    <xdr:sp>
      <xdr:nvSpPr>
        <xdr:cNvPr id="13" name="Tekstboks 27"/>
        <xdr:cNvSpPr txBox="1">
          <a:spLocks noChangeArrowheads="1"/>
        </xdr:cNvSpPr>
      </xdr:nvSpPr>
      <xdr:spPr>
        <a:xfrm>
          <a:off x="2352675" y="714375"/>
          <a:ext cx="200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  <xdr:twoCellAnchor>
    <xdr:from>
      <xdr:col>2</xdr:col>
      <xdr:colOff>495300</xdr:colOff>
      <xdr:row>6</xdr:row>
      <xdr:rowOff>180975</xdr:rowOff>
    </xdr:from>
    <xdr:to>
      <xdr:col>4</xdr:col>
      <xdr:colOff>133350</xdr:colOff>
      <xdr:row>6</xdr:row>
      <xdr:rowOff>180975</xdr:rowOff>
    </xdr:to>
    <xdr:sp>
      <xdr:nvSpPr>
        <xdr:cNvPr id="14" name="Lige forbindelse 33"/>
        <xdr:cNvSpPr>
          <a:spLocks/>
        </xdr:cNvSpPr>
      </xdr:nvSpPr>
      <xdr:spPr>
        <a:xfrm>
          <a:off x="1847850" y="1371600"/>
          <a:ext cx="1019175" cy="0"/>
        </a:xfrm>
        <a:prstGeom prst="line">
          <a:avLst/>
        </a:prstGeom>
        <a:noFill/>
        <a:ln w="1587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47625</xdr:rowOff>
    </xdr:from>
    <xdr:to>
      <xdr:col>3</xdr:col>
      <xdr:colOff>371475</xdr:colOff>
      <xdr:row>8</xdr:row>
      <xdr:rowOff>85725</xdr:rowOff>
    </xdr:to>
    <xdr:sp>
      <xdr:nvSpPr>
        <xdr:cNvPr id="15" name="Tekstboks 34"/>
        <xdr:cNvSpPr txBox="1">
          <a:spLocks noChangeArrowheads="1"/>
        </xdr:cNvSpPr>
      </xdr:nvSpPr>
      <xdr:spPr>
        <a:xfrm>
          <a:off x="2295525" y="1428750"/>
          <a:ext cx="200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16</xdr:col>
      <xdr:colOff>590550</xdr:colOff>
      <xdr:row>9</xdr:row>
      <xdr:rowOff>95250</xdr:rowOff>
    </xdr:from>
    <xdr:to>
      <xdr:col>24</xdr:col>
      <xdr:colOff>285750</xdr:colOff>
      <xdr:row>23</xdr:row>
      <xdr:rowOff>104775</xdr:rowOff>
    </xdr:to>
    <xdr:graphicFrame>
      <xdr:nvGraphicFramePr>
        <xdr:cNvPr id="16" name="Diagram 19"/>
        <xdr:cNvGraphicFramePr/>
      </xdr:nvGraphicFramePr>
      <xdr:xfrm>
        <a:off x="10658475" y="1857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28</xdr:row>
      <xdr:rowOff>95250</xdr:rowOff>
    </xdr:from>
    <xdr:to>
      <xdr:col>4</xdr:col>
      <xdr:colOff>438150</xdr:colOff>
      <xdr:row>29</xdr:row>
      <xdr:rowOff>133350</xdr:rowOff>
    </xdr:to>
    <xdr:sp>
      <xdr:nvSpPr>
        <xdr:cNvPr id="17" name="Opadbøjet pil 22"/>
        <xdr:cNvSpPr>
          <a:spLocks/>
        </xdr:cNvSpPr>
      </xdr:nvSpPr>
      <xdr:spPr>
        <a:xfrm>
          <a:off x="2847975" y="5619750"/>
          <a:ext cx="323850" cy="228600"/>
        </a:xfrm>
        <a:custGeom>
          <a:pathLst>
            <a:path h="228600" w="323850">
              <a:moveTo>
                <a:pt x="0" y="171450"/>
              </a:moveTo>
              <a:lnTo>
                <a:pt x="238125" y="171450"/>
              </a:lnTo>
              <a:lnTo>
                <a:pt x="238125" y="57150"/>
              </a:lnTo>
              <a:lnTo>
                <a:pt x="209550" y="57150"/>
              </a:lnTo>
              <a:lnTo>
                <a:pt x="266700" y="0"/>
              </a:lnTo>
              <a:lnTo>
                <a:pt x="323850" y="57150"/>
              </a:lnTo>
              <a:lnTo>
                <a:pt x="295275" y="57150"/>
              </a:lnTo>
              <a:lnTo>
                <a:pt x="295275" y="228600"/>
              </a:lnTo>
              <a:lnTo>
                <a:pt x="0" y="228600"/>
              </a:lnTo>
              <a:lnTo>
                <a:pt x="0" y="171450"/>
              </a:lnTo>
              <a:close/>
            </a:path>
          </a:pathLst>
        </a:custGeom>
        <a:solidFill>
          <a:srgbClr val="4F81BD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69</xdr:row>
      <xdr:rowOff>95250</xdr:rowOff>
    </xdr:from>
    <xdr:to>
      <xdr:col>4</xdr:col>
      <xdr:colOff>438150</xdr:colOff>
      <xdr:row>70</xdr:row>
      <xdr:rowOff>133350</xdr:rowOff>
    </xdr:to>
    <xdr:sp>
      <xdr:nvSpPr>
        <xdr:cNvPr id="1" name="Opadbøjet pil 1"/>
        <xdr:cNvSpPr>
          <a:spLocks/>
        </xdr:cNvSpPr>
      </xdr:nvSpPr>
      <xdr:spPr>
        <a:xfrm>
          <a:off x="3019425" y="12553950"/>
          <a:ext cx="323850" cy="228600"/>
        </a:xfrm>
        <a:custGeom>
          <a:pathLst>
            <a:path h="228600" w="323850">
              <a:moveTo>
                <a:pt x="0" y="171450"/>
              </a:moveTo>
              <a:lnTo>
                <a:pt x="238125" y="171450"/>
              </a:lnTo>
              <a:lnTo>
                <a:pt x="238125" y="57150"/>
              </a:lnTo>
              <a:lnTo>
                <a:pt x="209550" y="57150"/>
              </a:lnTo>
              <a:lnTo>
                <a:pt x="266700" y="0"/>
              </a:lnTo>
              <a:lnTo>
                <a:pt x="323850" y="57150"/>
              </a:lnTo>
              <a:lnTo>
                <a:pt x="295275" y="57150"/>
              </a:lnTo>
              <a:lnTo>
                <a:pt x="295275" y="228600"/>
              </a:lnTo>
              <a:lnTo>
                <a:pt x="0" y="228600"/>
              </a:lnTo>
              <a:lnTo>
                <a:pt x="0" y="171450"/>
              </a:lnTo>
              <a:close/>
            </a:path>
          </a:pathLst>
        </a:custGeom>
        <a:solidFill>
          <a:srgbClr val="4F81BD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704850</xdr:colOff>
      <xdr:row>125</xdr:row>
      <xdr:rowOff>104775</xdr:rowOff>
    </xdr:from>
    <xdr:to>
      <xdr:col>9</xdr:col>
      <xdr:colOff>171450</xdr:colOff>
      <xdr:row>141</xdr:row>
      <xdr:rowOff>161925</xdr:rowOff>
    </xdr:to>
    <xdr:graphicFrame>
      <xdr:nvGraphicFramePr>
        <xdr:cNvPr id="2" name="Diagram 3"/>
        <xdr:cNvGraphicFramePr/>
      </xdr:nvGraphicFramePr>
      <xdr:xfrm>
        <a:off x="704850" y="20993100"/>
        <a:ext cx="55054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121</xdr:row>
      <xdr:rowOff>0</xdr:rowOff>
    </xdr:from>
    <xdr:to>
      <xdr:col>22</xdr:col>
      <xdr:colOff>542925</xdr:colOff>
      <xdr:row>140</xdr:row>
      <xdr:rowOff>95250</xdr:rowOff>
    </xdr:to>
    <xdr:graphicFrame>
      <xdr:nvGraphicFramePr>
        <xdr:cNvPr id="3" name="Diagram 6"/>
        <xdr:cNvGraphicFramePr/>
      </xdr:nvGraphicFramePr>
      <xdr:xfrm>
        <a:off x="8477250" y="20126325"/>
        <a:ext cx="60293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180975</xdr:rowOff>
    </xdr:from>
    <xdr:to>
      <xdr:col>8</xdr:col>
      <xdr:colOff>371475</xdr:colOff>
      <xdr:row>39</xdr:row>
      <xdr:rowOff>57150</xdr:rowOff>
    </xdr:to>
    <xdr:graphicFrame>
      <xdr:nvGraphicFramePr>
        <xdr:cNvPr id="1" name="Diagram 1"/>
        <xdr:cNvGraphicFramePr/>
      </xdr:nvGraphicFramePr>
      <xdr:xfrm>
        <a:off x="104775" y="4562475"/>
        <a:ext cx="56102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8</xdr:row>
      <xdr:rowOff>133350</xdr:rowOff>
    </xdr:from>
    <xdr:to>
      <xdr:col>11</xdr:col>
      <xdr:colOff>514350</xdr:colOff>
      <xdr:row>24</xdr:row>
      <xdr:rowOff>123825</xdr:rowOff>
    </xdr:to>
    <xdr:grpSp>
      <xdr:nvGrpSpPr>
        <xdr:cNvPr id="2" name="Gruppe 36"/>
        <xdr:cNvGrpSpPr>
          <a:grpSpLocks/>
        </xdr:cNvGrpSpPr>
      </xdr:nvGrpSpPr>
      <xdr:grpSpPr>
        <a:xfrm>
          <a:off x="5591175" y="1819275"/>
          <a:ext cx="2095500" cy="3257550"/>
          <a:chOff x="5619749" y="1830913"/>
          <a:chExt cx="2116667" cy="3270254"/>
        </a:xfrm>
        <a:solidFill>
          <a:srgbClr val="FFFFFF"/>
        </a:solidFill>
      </xdr:grpSpPr>
      <xdr:grpSp>
        <xdr:nvGrpSpPr>
          <xdr:cNvPr id="3" name="Gruppe 49"/>
          <xdr:cNvGrpSpPr>
            <a:grpSpLocks/>
          </xdr:cNvGrpSpPr>
        </xdr:nvGrpSpPr>
        <xdr:grpSpPr>
          <a:xfrm>
            <a:off x="5704416" y="1830913"/>
            <a:ext cx="2000250" cy="1344074"/>
            <a:chOff x="5651499" y="1735665"/>
            <a:chExt cx="2000250" cy="1344085"/>
          </a:xfrm>
          <a:solidFill>
            <a:srgbClr val="FFFFFF"/>
          </a:solidFill>
        </xdr:grpSpPr>
        <xdr:grpSp>
          <xdr:nvGrpSpPr>
            <xdr:cNvPr id="4" name="Gruppe 142"/>
            <xdr:cNvGrpSpPr>
              <a:grpSpLocks/>
            </xdr:cNvGrpSpPr>
          </xdr:nvGrpSpPr>
          <xdr:grpSpPr>
            <a:xfrm>
              <a:off x="5651499" y="1735665"/>
              <a:ext cx="2000250" cy="1344085"/>
              <a:chOff x="5990166" y="1989665"/>
              <a:chExt cx="2000250" cy="1344085"/>
            </a:xfrm>
            <a:solidFill>
              <a:srgbClr val="FFFFFF"/>
            </a:solidFill>
          </xdr:grpSpPr>
          <xdr:grpSp>
            <xdr:nvGrpSpPr>
              <xdr:cNvPr id="5" name="Gruppe 134"/>
              <xdr:cNvGrpSpPr>
                <a:grpSpLocks/>
              </xdr:cNvGrpSpPr>
            </xdr:nvGrpSpPr>
            <xdr:grpSpPr>
              <a:xfrm>
                <a:off x="5990166" y="1989665"/>
                <a:ext cx="1852232" cy="1079636"/>
                <a:chOff x="5990166" y="1989665"/>
                <a:chExt cx="1852084" cy="1079504"/>
              </a:xfrm>
              <a:solidFill>
                <a:srgbClr val="FFFFFF"/>
              </a:solidFill>
            </xdr:grpSpPr>
            <xdr:sp>
              <xdr:nvSpPr>
                <xdr:cNvPr id="6" name="Lige forbindelse 112"/>
                <xdr:cNvSpPr>
                  <a:spLocks/>
                </xdr:cNvSpPr>
              </xdr:nvSpPr>
              <xdr:spPr>
                <a:xfrm>
                  <a:off x="6000815" y="3069169"/>
                  <a:ext cx="1185334" cy="0"/>
                </a:xfrm>
                <a:prstGeom prst="line">
                  <a:avLst/>
                </a:prstGeom>
                <a:noFill/>
                <a:ln w="9525" cmpd="sng">
                  <a:solidFill>
                    <a:srgbClr val="4A7EBB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grpSp>
              <xdr:nvGrpSpPr>
                <xdr:cNvPr id="7" name="Gruppe 133"/>
                <xdr:cNvGrpSpPr>
                  <a:grpSpLocks/>
                </xdr:cNvGrpSpPr>
              </xdr:nvGrpSpPr>
              <xdr:grpSpPr>
                <a:xfrm>
                  <a:off x="5990166" y="1989665"/>
                  <a:ext cx="1852084" cy="1079504"/>
                  <a:chOff x="6604000" y="857249"/>
                  <a:chExt cx="1852084" cy="1079503"/>
                </a:xfrm>
                <a:solidFill>
                  <a:srgbClr val="FFFFFF"/>
                </a:solidFill>
              </xdr:grpSpPr>
              <xdr:grpSp>
                <xdr:nvGrpSpPr>
                  <xdr:cNvPr id="8" name="Gruppe 87"/>
                  <xdr:cNvGrpSpPr>
                    <a:grpSpLocks/>
                  </xdr:cNvGrpSpPr>
                </xdr:nvGrpSpPr>
                <xdr:grpSpPr>
                  <a:xfrm>
                    <a:off x="6604000" y="1502792"/>
                    <a:ext cx="1206633" cy="433960"/>
                    <a:chOff x="5990168" y="3587749"/>
                    <a:chExt cx="1206499" cy="433917"/>
                  </a:xfrm>
                  <a:solidFill>
                    <a:srgbClr val="FFFFFF"/>
                  </a:solidFill>
                </xdr:grpSpPr>
                <xdr:sp>
                  <xdr:nvSpPr>
                    <xdr:cNvPr id="9" name="Lige forbindelse 88"/>
                    <xdr:cNvSpPr>
                      <a:spLocks/>
                    </xdr:cNvSpPr>
                  </xdr:nvSpPr>
                  <xdr:spPr>
                    <a:xfrm rot="10800000" flipV="1">
                      <a:off x="5990168" y="3587749"/>
                      <a:ext cx="613806" cy="43391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4A7EBB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10" name="Lige forbindelse 89"/>
                    <xdr:cNvSpPr>
                      <a:spLocks/>
                    </xdr:cNvSpPr>
                  </xdr:nvSpPr>
                  <xdr:spPr>
                    <a:xfrm>
                      <a:off x="6614531" y="3587749"/>
                      <a:ext cx="582136" cy="42328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4A7EBB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1" name="Gruppe 90"/>
                  <xdr:cNvGrpSpPr>
                    <a:grpSpLocks/>
                  </xdr:cNvGrpSpPr>
                </xdr:nvGrpSpPr>
                <xdr:grpSpPr>
                  <a:xfrm>
                    <a:off x="7539765" y="861567"/>
                    <a:ext cx="916319" cy="270955"/>
                    <a:chOff x="5990168" y="3587749"/>
                    <a:chExt cx="1206499" cy="433917"/>
                  </a:xfrm>
                  <a:solidFill>
                    <a:srgbClr val="FFFFFF"/>
                  </a:solidFill>
                </xdr:grpSpPr>
                <xdr:sp>
                  <xdr:nvSpPr>
                    <xdr:cNvPr id="12" name="Lige forbindelse 91"/>
                    <xdr:cNvSpPr>
                      <a:spLocks/>
                    </xdr:cNvSpPr>
                  </xdr:nvSpPr>
                  <xdr:spPr>
                    <a:xfrm rot="10800000" flipV="1">
                      <a:off x="5990168" y="3587749"/>
                      <a:ext cx="613806" cy="43391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4A7EBB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13" name="Lige forbindelse 92"/>
                    <xdr:cNvSpPr>
                      <a:spLocks/>
                    </xdr:cNvSpPr>
                  </xdr:nvSpPr>
                  <xdr:spPr>
                    <a:xfrm>
                      <a:off x="6614531" y="3587749"/>
                      <a:ext cx="582136" cy="42328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4A7EBB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4" name="Lige forbindelse 94"/>
                  <xdr:cNvSpPr>
                    <a:spLocks/>
                  </xdr:cNvSpPr>
                </xdr:nvSpPr>
                <xdr:spPr>
                  <a:xfrm flipV="1">
                    <a:off x="6604000" y="1132522"/>
                    <a:ext cx="931135" cy="80423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5" name="Lige forbindelse 99"/>
                  <xdr:cNvSpPr>
                    <a:spLocks/>
                  </xdr:cNvSpPr>
                </xdr:nvSpPr>
                <xdr:spPr>
                  <a:xfrm flipV="1">
                    <a:off x="7196667" y="857249"/>
                    <a:ext cx="793618" cy="656068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6" name="Lige forbindelse 102"/>
                  <xdr:cNvSpPr>
                    <a:spLocks/>
                  </xdr:cNvSpPr>
                </xdr:nvSpPr>
                <xdr:spPr>
                  <a:xfrm rot="5400000" flipH="1" flipV="1">
                    <a:off x="7720344" y="1211866"/>
                    <a:ext cx="814917" cy="635018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7" name="Lige forbindelse 105"/>
                  <xdr:cNvSpPr>
                    <a:spLocks/>
                  </xdr:cNvSpPr>
                </xdr:nvSpPr>
                <xdr:spPr>
                  <a:xfrm rot="5400000">
                    <a:off x="7000809" y="1719772"/>
                    <a:ext cx="433851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8" name="Lige forbindelse 121"/>
                  <xdr:cNvSpPr>
                    <a:spLocks/>
                  </xdr:cNvSpPr>
                </xdr:nvSpPr>
                <xdr:spPr>
                  <a:xfrm rot="5400000">
                    <a:off x="7858324" y="989488"/>
                    <a:ext cx="264385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19" name="Lige forbindelse 130"/>
                  <xdr:cNvSpPr>
                    <a:spLocks/>
                  </xdr:cNvSpPr>
                </xdr:nvSpPr>
                <xdr:spPr>
                  <a:xfrm rot="10800000">
                    <a:off x="7990285" y="1121727"/>
                    <a:ext cx="433851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  <xdr:sp>
                <xdr:nvSpPr>
                  <xdr:cNvPr id="20" name="Lige forbindelse 132"/>
                  <xdr:cNvSpPr>
                    <a:spLocks/>
                  </xdr:cNvSpPr>
                </xdr:nvSpPr>
                <xdr:spPr>
                  <a:xfrm rot="5400000" flipH="1" flipV="1">
                    <a:off x="7196667" y="1143047"/>
                    <a:ext cx="814917" cy="772654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1" name="Gruppe 141"/>
              <xdr:cNvGrpSpPr>
                <a:grpSpLocks/>
              </xdr:cNvGrpSpPr>
            </xdr:nvGrpSpPr>
            <xdr:grpSpPr>
              <a:xfrm>
                <a:off x="6604243" y="2264866"/>
                <a:ext cx="1386173" cy="1068884"/>
                <a:chOff x="6604000" y="2264834"/>
                <a:chExt cx="1386416" cy="1068916"/>
              </a:xfrm>
              <a:solidFill>
                <a:srgbClr val="FFFFFF"/>
              </a:solidFill>
            </xdr:grpSpPr>
            <xdr:sp>
              <xdr:nvSpPr>
                <xdr:cNvPr id="22" name="Lige pilforbindelse 136"/>
                <xdr:cNvSpPr>
                  <a:spLocks/>
                </xdr:cNvSpPr>
              </xdr:nvSpPr>
              <xdr:spPr>
                <a:xfrm>
                  <a:off x="6604000" y="3206816"/>
                  <a:ext cx="613836" cy="1603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4A7EBB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3" name="Lige pilforbindelse 138"/>
                <xdr:cNvSpPr>
                  <a:spLocks/>
                </xdr:cNvSpPr>
              </xdr:nvSpPr>
              <xdr:spPr>
                <a:xfrm rot="5400000" flipH="1" flipV="1">
                  <a:off x="7170351" y="2397112"/>
                  <a:ext cx="952468" cy="687847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4A7EBB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24" name="Tekstboks 139"/>
                <xdr:cNvSpPr txBox="1">
                  <a:spLocks noChangeArrowheads="1"/>
                </xdr:cNvSpPr>
              </xdr:nvSpPr>
              <xdr:spPr>
                <a:xfrm>
                  <a:off x="7567213" y="2614102"/>
                  <a:ext cx="243316" cy="23275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L</a:t>
                  </a:r>
                </a:p>
              </xdr:txBody>
            </xdr:sp>
            <xdr:sp>
              <xdr:nvSpPr>
                <xdr:cNvPr id="25" name="Tekstboks 140"/>
                <xdr:cNvSpPr txBox="1">
                  <a:spLocks noChangeArrowheads="1"/>
                </xdr:cNvSpPr>
              </xdr:nvSpPr>
              <xdr:spPr>
                <a:xfrm>
                  <a:off x="6815775" y="3100994"/>
                  <a:ext cx="243316" cy="23275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B</a:t>
                  </a:r>
                </a:p>
              </xdr:txBody>
            </xdr:sp>
          </xdr:grpSp>
        </xdr:grpSp>
        <xdr:grpSp>
          <xdr:nvGrpSpPr>
            <xdr:cNvPr id="26" name="Gruppe 48"/>
            <xdr:cNvGrpSpPr>
              <a:grpSpLocks/>
            </xdr:cNvGrpSpPr>
          </xdr:nvGrpSpPr>
          <xdr:grpSpPr>
            <a:xfrm>
              <a:off x="6858150" y="2042452"/>
              <a:ext cx="696087" cy="825604"/>
              <a:chOff x="6857998" y="2042582"/>
              <a:chExt cx="696232" cy="825500"/>
            </a:xfrm>
            <a:solidFill>
              <a:srgbClr val="FFFFFF"/>
            </a:solidFill>
          </xdr:grpSpPr>
          <xdr:sp>
            <xdr:nvSpPr>
              <xdr:cNvPr id="27" name="Lige forbindelse 27"/>
              <xdr:cNvSpPr>
                <a:spLocks/>
              </xdr:cNvSpPr>
            </xdr:nvSpPr>
            <xdr:spPr>
              <a:xfrm rot="5400000" flipH="1" flipV="1">
                <a:off x="6772362" y="2128434"/>
                <a:ext cx="810588" cy="638937"/>
              </a:xfrm>
              <a:prstGeom prst="line">
                <a:avLst/>
              </a:prstGeom>
              <a:noFill/>
              <a:ln w="9525" cmpd="sng">
                <a:solidFill>
                  <a:srgbClr val="4A7EBB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8" name="Lige forbindelse 30"/>
              <xdr:cNvSpPr>
                <a:spLocks/>
              </xdr:cNvSpPr>
            </xdr:nvSpPr>
            <xdr:spPr>
              <a:xfrm rot="5400000" flipH="1" flipV="1">
                <a:off x="6829628" y="2143293"/>
                <a:ext cx="810588" cy="638937"/>
              </a:xfrm>
              <a:prstGeom prst="line">
                <a:avLst/>
              </a:prstGeom>
              <a:noFill/>
              <a:ln w="9525" cmpd="sng">
                <a:solidFill>
                  <a:srgbClr val="4A7EBB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9" name="Lige forbindelse 32"/>
              <xdr:cNvSpPr>
                <a:spLocks/>
              </xdr:cNvSpPr>
            </xdr:nvSpPr>
            <xdr:spPr>
              <a:xfrm rot="5400000">
                <a:off x="7267556" y="2335841"/>
                <a:ext cx="479878" cy="0"/>
              </a:xfrm>
              <a:prstGeom prst="line">
                <a:avLst/>
              </a:prstGeom>
              <a:noFill/>
              <a:ln w="9525" cmpd="sng">
                <a:solidFill>
                  <a:srgbClr val="4A7EBB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ge forbindelse 34"/>
              <xdr:cNvSpPr>
                <a:spLocks/>
              </xdr:cNvSpPr>
            </xdr:nvSpPr>
            <xdr:spPr>
              <a:xfrm rot="5400000">
                <a:off x="7229264" y="2361638"/>
                <a:ext cx="479878" cy="0"/>
              </a:xfrm>
              <a:prstGeom prst="line">
                <a:avLst/>
              </a:prstGeom>
              <a:noFill/>
              <a:ln w="9525" cmpd="sng">
                <a:solidFill>
                  <a:srgbClr val="4A7EBB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ge forbindelse 40"/>
              <xdr:cNvSpPr>
                <a:spLocks/>
              </xdr:cNvSpPr>
            </xdr:nvSpPr>
            <xdr:spPr>
              <a:xfrm>
                <a:off x="6865482" y="2847238"/>
                <a:ext cx="34115" cy="12589"/>
              </a:xfrm>
              <a:prstGeom prst="line">
                <a:avLst/>
              </a:prstGeom>
              <a:noFill/>
              <a:ln w="9525" cmpd="sng">
                <a:solidFill>
                  <a:srgbClr val="4A7EBB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ge forbindelse 46"/>
              <xdr:cNvSpPr>
                <a:spLocks/>
              </xdr:cNvSpPr>
            </xdr:nvSpPr>
            <xdr:spPr>
              <a:xfrm>
                <a:off x="7493658" y="2046710"/>
                <a:ext cx="41600" cy="16716"/>
              </a:xfrm>
              <a:prstGeom prst="line">
                <a:avLst/>
              </a:prstGeom>
              <a:noFill/>
              <a:ln w="9525" cmpd="sng">
                <a:solidFill>
                  <a:srgbClr val="4A7EBB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33" name="Tekstboks 35"/>
          <xdr:cNvSpPr txBox="1">
            <a:spLocks noChangeArrowheads="1"/>
          </xdr:cNvSpPr>
        </xdr:nvSpPr>
        <xdr:spPr>
          <a:xfrm>
            <a:off x="5619749" y="3132474"/>
            <a:ext cx="2116667" cy="19686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Bild 1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Anmerkung.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Wenn das Fallrohr statt am Ende der Rinne in der Mitte - oder wenn noch ein Fallrohr an dem anderen Ende der Rinne montiert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wird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 dann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kann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die Länge der Dachrinne bei der Bemessung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halbiert  werden, wobei das Abflussvermögen der Rinne wesentlich erhöht wird.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101</xdr:row>
      <xdr:rowOff>104775</xdr:rowOff>
    </xdr:from>
    <xdr:to>
      <xdr:col>5</xdr:col>
      <xdr:colOff>533400</xdr:colOff>
      <xdr:row>102</xdr:row>
      <xdr:rowOff>142875</xdr:rowOff>
    </xdr:to>
    <xdr:sp>
      <xdr:nvSpPr>
        <xdr:cNvPr id="1" name="Opadbøjet pil 8"/>
        <xdr:cNvSpPr>
          <a:spLocks/>
        </xdr:cNvSpPr>
      </xdr:nvSpPr>
      <xdr:spPr>
        <a:xfrm>
          <a:off x="3600450" y="20412075"/>
          <a:ext cx="323850" cy="228600"/>
        </a:xfrm>
        <a:custGeom>
          <a:pathLst>
            <a:path h="228600" w="323850">
              <a:moveTo>
                <a:pt x="0" y="171450"/>
              </a:moveTo>
              <a:lnTo>
                <a:pt x="238125" y="171450"/>
              </a:lnTo>
              <a:lnTo>
                <a:pt x="238125" y="57150"/>
              </a:lnTo>
              <a:lnTo>
                <a:pt x="209550" y="57150"/>
              </a:lnTo>
              <a:lnTo>
                <a:pt x="266700" y="0"/>
              </a:lnTo>
              <a:lnTo>
                <a:pt x="323850" y="57150"/>
              </a:lnTo>
              <a:lnTo>
                <a:pt x="295275" y="57150"/>
              </a:lnTo>
              <a:lnTo>
                <a:pt x="295275" y="228600"/>
              </a:lnTo>
              <a:lnTo>
                <a:pt x="0" y="228600"/>
              </a:lnTo>
              <a:lnTo>
                <a:pt x="0" y="171450"/>
              </a:lnTo>
              <a:close/>
            </a:path>
          </a:pathLst>
        </a:custGeom>
        <a:solidFill>
          <a:srgbClr val="4F81BD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zoomScalePageLayoutView="0" workbookViewId="0" topLeftCell="B83">
      <selection activeCell="C85" sqref="C85"/>
    </sheetView>
  </sheetViews>
  <sheetFormatPr defaultColWidth="9.140625" defaultRowHeight="15"/>
  <cols>
    <col min="1" max="1" width="10.421875" style="0" customWidth="1"/>
    <col min="2" max="2" width="9.8515625" style="0" customWidth="1"/>
    <col min="3" max="3" width="11.57421875" style="0" bestFit="1" customWidth="1"/>
    <col min="4" max="4" width="9.140625" style="0" customWidth="1"/>
    <col min="13" max="13" width="9.421875" style="0" customWidth="1"/>
  </cols>
  <sheetData>
    <row r="1" spans="1:14" ht="18.75">
      <c r="A1" s="16" t="s">
        <v>11</v>
      </c>
      <c r="N1" t="s">
        <v>26</v>
      </c>
    </row>
    <row r="2" ht="15">
      <c r="J2" t="s">
        <v>20</v>
      </c>
    </row>
    <row r="3" spans="2:3" ht="15">
      <c r="B3" s="2" t="s">
        <v>0</v>
      </c>
      <c r="C3">
        <v>3.14159265359</v>
      </c>
    </row>
    <row r="4" spans="5:8" ht="15">
      <c r="E4" s="1"/>
      <c r="F4" s="1"/>
      <c r="G4" s="1"/>
      <c r="H4" s="1"/>
    </row>
    <row r="5" spans="6:7" ht="15">
      <c r="F5" s="72" t="s">
        <v>49</v>
      </c>
      <c r="G5" s="72"/>
    </row>
    <row r="6" spans="6:7" ht="15">
      <c r="F6" s="72"/>
      <c r="G6" s="72"/>
    </row>
    <row r="7" spans="6:15" ht="15">
      <c r="F7" s="72"/>
      <c r="G7" s="72"/>
      <c r="M7" s="69" t="s">
        <v>25</v>
      </c>
      <c r="N7" s="69"/>
      <c r="O7" s="70"/>
    </row>
    <row r="8" spans="13:15" ht="15">
      <c r="M8" s="69"/>
      <c r="N8" s="69"/>
      <c r="O8" s="70"/>
    </row>
    <row r="9" spans="13:15" ht="15">
      <c r="M9" s="69"/>
      <c r="N9" s="69"/>
      <c r="O9" s="70"/>
    </row>
    <row r="10" spans="13:15" ht="15">
      <c r="M10" s="69"/>
      <c r="N10" s="69"/>
      <c r="O10" s="70"/>
    </row>
    <row r="11" ht="15">
      <c r="P11" s="3" t="s">
        <v>22</v>
      </c>
    </row>
    <row r="12" spans="1:16" ht="15">
      <c r="A12" s="8" t="s">
        <v>2</v>
      </c>
      <c r="B12" s="6"/>
      <c r="C12" s="6"/>
      <c r="D12" s="6"/>
      <c r="E12" s="6"/>
      <c r="F12" s="6"/>
      <c r="G12" s="6"/>
      <c r="H12" s="6"/>
      <c r="I12" s="26" t="s">
        <v>5</v>
      </c>
      <c r="J12" s="6"/>
      <c r="K12" s="7"/>
      <c r="N12" t="s">
        <v>6</v>
      </c>
      <c r="P12" s="3" t="s">
        <v>9</v>
      </c>
    </row>
    <row r="13" spans="1:19" ht="18">
      <c r="A13" s="9" t="s">
        <v>15</v>
      </c>
      <c r="B13" s="9" t="s">
        <v>16</v>
      </c>
      <c r="C13" s="9" t="s">
        <v>17</v>
      </c>
      <c r="D13" s="9" t="s">
        <v>24</v>
      </c>
      <c r="E13" s="9" t="s">
        <v>23</v>
      </c>
      <c r="F13" s="9" t="s">
        <v>18</v>
      </c>
      <c r="G13" s="9" t="s">
        <v>21</v>
      </c>
      <c r="H13" s="22" t="s">
        <v>12</v>
      </c>
      <c r="I13" s="27" t="s">
        <v>1</v>
      </c>
      <c r="J13" s="9" t="s">
        <v>12</v>
      </c>
      <c r="K13" s="9" t="s">
        <v>38</v>
      </c>
      <c r="N13" s="3" t="s">
        <v>7</v>
      </c>
      <c r="P13" s="3" t="s">
        <v>10</v>
      </c>
      <c r="S13" s="3"/>
    </row>
    <row r="14" spans="1:19" ht="17.25">
      <c r="A14" s="13" t="s">
        <v>3</v>
      </c>
      <c r="B14" s="13" t="s">
        <v>3</v>
      </c>
      <c r="C14" s="13" t="s">
        <v>3</v>
      </c>
      <c r="D14" s="13" t="s">
        <v>3</v>
      </c>
      <c r="E14" s="13" t="s">
        <v>3</v>
      </c>
      <c r="F14" s="15" t="s">
        <v>19</v>
      </c>
      <c r="G14" s="15" t="s">
        <v>3</v>
      </c>
      <c r="H14" s="23" t="s">
        <v>27</v>
      </c>
      <c r="I14" s="28" t="s">
        <v>3</v>
      </c>
      <c r="J14" s="13" t="s">
        <v>13</v>
      </c>
      <c r="K14" s="13" t="s">
        <v>3</v>
      </c>
      <c r="N14" s="3" t="s">
        <v>8</v>
      </c>
      <c r="P14" s="3" t="s">
        <v>3</v>
      </c>
      <c r="S14" s="3"/>
    </row>
    <row r="15" spans="1:19" ht="15">
      <c r="A15" s="10" t="s">
        <v>4</v>
      </c>
      <c r="B15" s="9"/>
      <c r="C15" s="9"/>
      <c r="D15" s="11"/>
      <c r="E15" s="11"/>
      <c r="F15" s="11"/>
      <c r="G15" s="11"/>
      <c r="H15" s="22"/>
      <c r="I15" s="27"/>
      <c r="J15" s="9"/>
      <c r="K15" s="9"/>
      <c r="P15" s="3"/>
      <c r="S15" s="3"/>
    </row>
    <row r="16" spans="1:19" ht="15">
      <c r="A16" s="9">
        <v>100</v>
      </c>
      <c r="B16" s="9">
        <v>107</v>
      </c>
      <c r="C16" s="12">
        <v>6</v>
      </c>
      <c r="D16" s="12">
        <v>54</v>
      </c>
      <c r="E16" s="12">
        <f>B16*SIN(RADIANS(F16)/2)</f>
        <v>106.74260278369152</v>
      </c>
      <c r="F16" s="12">
        <f>180-DEGREES(ATAN(2*C16/B16))-1.551</f>
        <v>172.0500433726311</v>
      </c>
      <c r="G16" s="12">
        <f>B16/2*RADIANS(F16)</f>
        <v>160.65192582525322</v>
      </c>
      <c r="H16" s="24">
        <f>B16^2/8*(2*G16/B16-SIN(RADIANS(F16)))</f>
        <v>4099.502798370023</v>
      </c>
      <c r="I16" s="27">
        <v>105</v>
      </c>
      <c r="J16" s="12">
        <v>5256</v>
      </c>
      <c r="K16" s="12">
        <v>62</v>
      </c>
      <c r="N16" s="5">
        <f>(J16-H16)/H16*100</f>
        <v>28.2106698912318</v>
      </c>
      <c r="P16" s="3">
        <v>250</v>
      </c>
      <c r="S16" s="4"/>
    </row>
    <row r="17" spans="1:19" ht="15">
      <c r="A17" s="9">
        <v>125</v>
      </c>
      <c r="B17" s="9">
        <v>123</v>
      </c>
      <c r="C17" s="12">
        <v>6</v>
      </c>
      <c r="D17" s="12">
        <v>62</v>
      </c>
      <c r="E17" s="12">
        <f>B17*SIN(RADIANS(F17)/2)</f>
        <v>122.79030698690224</v>
      </c>
      <c r="F17" s="12">
        <f>180-DEGREES(ATAN(2*C17/B17))-1.12</f>
        <v>173.3078021960362</v>
      </c>
      <c r="G17" s="12">
        <f>B17/2*RADIANS(F17)</f>
        <v>186.0246937145273</v>
      </c>
      <c r="H17" s="24">
        <f>B17^2/8*(2*G17/B17-SIN(RADIANS(F17)))</f>
        <v>5499.876149435274</v>
      </c>
      <c r="I17" s="27">
        <v>127</v>
      </c>
      <c r="J17" s="12">
        <v>7347</v>
      </c>
      <c r="K17" s="12">
        <v>72.5</v>
      </c>
      <c r="N17" s="5">
        <f>(J17-H17)/H17*100</f>
        <v>33.584826282940725</v>
      </c>
      <c r="P17" s="3">
        <v>280</v>
      </c>
      <c r="S17" s="4"/>
    </row>
    <row r="18" spans="1:19" ht="15">
      <c r="A18" s="9">
        <v>150</v>
      </c>
      <c r="B18" s="9">
        <v>155</v>
      </c>
      <c r="C18" s="12">
        <v>6</v>
      </c>
      <c r="D18" s="12">
        <v>78</v>
      </c>
      <c r="E18" s="12">
        <f>B18*SIN(RADIANS(F18)/2)</f>
        <v>154.84609545121756</v>
      </c>
      <c r="F18" s="12">
        <f>180-DEGREES(ATAN(2*C18/B18))-0.68</f>
        <v>174.8930283525206</v>
      </c>
      <c r="G18" s="12">
        <f>B18/2*RADIANS(F18)</f>
        <v>236.56558672398407</v>
      </c>
      <c r="H18" s="24">
        <f>B18^2/8*(2*G18/B18-SIN(RADIANS(F18)))</f>
        <v>8899.591834055207</v>
      </c>
      <c r="I18" s="27">
        <v>153</v>
      </c>
      <c r="J18" s="12">
        <v>10567</v>
      </c>
      <c r="K18" s="12">
        <v>86.5</v>
      </c>
      <c r="N18" s="5">
        <f>(J18-H18)/H18*100</f>
        <v>18.735782460992013</v>
      </c>
      <c r="P18" s="3">
        <v>333</v>
      </c>
      <c r="S18" s="4"/>
    </row>
    <row r="19" spans="1:19" ht="15">
      <c r="A19" s="13">
        <v>190</v>
      </c>
      <c r="B19" s="13">
        <v>192</v>
      </c>
      <c r="C19" s="14">
        <v>11</v>
      </c>
      <c r="D19" s="14">
        <v>105</v>
      </c>
      <c r="E19" s="14">
        <f>B19*SIN(RADIANS(F19)/2)</f>
        <v>191.68771113307793</v>
      </c>
      <c r="F19" s="14">
        <f>180-DEGREES(ATAN(2*C19/B19))</f>
        <v>173.46336635120292</v>
      </c>
      <c r="G19" s="14">
        <f>B19/2*RADIANS(F19)</f>
        <v>290.64065994447685</v>
      </c>
      <c r="H19" s="25">
        <f>0.5*PI()*B19^2/4+8.99*E19</f>
        <v>16199.731470828137</v>
      </c>
      <c r="I19" s="28">
        <v>192</v>
      </c>
      <c r="J19" s="14">
        <v>16363</v>
      </c>
      <c r="K19" s="14">
        <v>107</v>
      </c>
      <c r="N19" s="5">
        <f>(J19-H19)/H19*100</f>
        <v>1.0078471329347056</v>
      </c>
      <c r="P19" s="3">
        <v>400</v>
      </c>
      <c r="S19" s="4"/>
    </row>
    <row r="20" spans="3:10" ht="15">
      <c r="C20" s="3"/>
      <c r="D20" s="3"/>
      <c r="E20" s="3"/>
      <c r="F20" s="3"/>
      <c r="G20" s="3"/>
      <c r="H20" s="3"/>
      <c r="I20" s="3"/>
      <c r="J20" s="3"/>
    </row>
    <row r="21" spans="1:10" ht="15">
      <c r="A21" t="s">
        <v>14</v>
      </c>
      <c r="C21" s="3"/>
      <c r="D21" s="3"/>
      <c r="E21" s="3"/>
      <c r="F21" s="3"/>
      <c r="G21" s="3"/>
      <c r="H21" s="3"/>
      <c r="I21" s="3"/>
      <c r="J21" s="3"/>
    </row>
    <row r="22" spans="3:10" ht="15">
      <c r="C22" s="3"/>
      <c r="D22" s="3"/>
      <c r="E22" s="3"/>
      <c r="F22" s="3"/>
      <c r="G22" s="3"/>
      <c r="H22" s="3"/>
      <c r="I22" s="3"/>
      <c r="J22" s="3"/>
    </row>
    <row r="23" spans="3:10" ht="15">
      <c r="C23" s="3"/>
      <c r="D23" s="3"/>
      <c r="E23" s="3"/>
      <c r="F23" s="3"/>
      <c r="G23" s="3"/>
      <c r="H23" s="3"/>
      <c r="I23" s="3"/>
      <c r="J23" s="3"/>
    </row>
    <row r="24" spans="1:10" ht="15">
      <c r="A24" s="17" t="s">
        <v>28</v>
      </c>
      <c r="C24" s="3"/>
      <c r="D24" s="3"/>
      <c r="E24" s="3"/>
      <c r="F24" s="3"/>
      <c r="G24" s="3"/>
      <c r="H24" s="3"/>
      <c r="I24" s="3"/>
      <c r="J24" s="3"/>
    </row>
    <row r="25" spans="1:10" ht="15">
      <c r="A25" s="18" t="s">
        <v>29</v>
      </c>
      <c r="C25" s="3"/>
      <c r="D25" s="3"/>
      <c r="E25" s="3"/>
      <c r="F25" s="3"/>
      <c r="G25" s="3"/>
      <c r="H25" s="3"/>
      <c r="I25" s="3"/>
      <c r="J25" s="3"/>
    </row>
    <row r="26" spans="1:23" ht="15">
      <c r="A26" t="s">
        <v>31</v>
      </c>
      <c r="B26" s="3">
        <v>50</v>
      </c>
      <c r="C26" s="3">
        <f>B26+25</f>
        <v>75</v>
      </c>
      <c r="D26" s="3">
        <f aca="true" t="shared" si="0" ref="D26:K26">C26+25</f>
        <v>100</v>
      </c>
      <c r="E26" s="3">
        <f t="shared" si="0"/>
        <v>125</v>
      </c>
      <c r="F26" s="3">
        <f t="shared" si="0"/>
        <v>150</v>
      </c>
      <c r="G26" s="3">
        <f t="shared" si="0"/>
        <v>175</v>
      </c>
      <c r="H26" s="3">
        <f t="shared" si="0"/>
        <v>200</v>
      </c>
      <c r="I26" s="3">
        <f t="shared" si="0"/>
        <v>225</v>
      </c>
      <c r="J26" s="3">
        <f t="shared" si="0"/>
        <v>250</v>
      </c>
      <c r="K26" s="3">
        <f t="shared" si="0"/>
        <v>275</v>
      </c>
      <c r="L26" s="3">
        <f aca="true" t="shared" si="1" ref="L26:T26">K26+25</f>
        <v>300</v>
      </c>
      <c r="M26" s="3">
        <f t="shared" si="1"/>
        <v>325</v>
      </c>
      <c r="N26" s="3">
        <f t="shared" si="1"/>
        <v>350</v>
      </c>
      <c r="O26" s="3">
        <f t="shared" si="1"/>
        <v>375</v>
      </c>
      <c r="P26" s="3">
        <f t="shared" si="1"/>
        <v>400</v>
      </c>
      <c r="Q26" s="3">
        <f t="shared" si="1"/>
        <v>425</v>
      </c>
      <c r="R26" s="3">
        <f t="shared" si="1"/>
        <v>450</v>
      </c>
      <c r="S26" s="3">
        <f t="shared" si="1"/>
        <v>475</v>
      </c>
      <c r="T26" s="3">
        <f t="shared" si="1"/>
        <v>500</v>
      </c>
      <c r="V26" s="3"/>
      <c r="W26" s="3"/>
    </row>
    <row r="27" spans="1:21" ht="18">
      <c r="A27" t="s">
        <v>30</v>
      </c>
      <c r="B27" s="19">
        <v>1</v>
      </c>
      <c r="C27" s="19">
        <v>0.97</v>
      </c>
      <c r="D27" s="19">
        <v>0.93</v>
      </c>
      <c r="E27" s="19">
        <v>0.9</v>
      </c>
      <c r="F27" s="21">
        <v>0.86</v>
      </c>
      <c r="G27" s="19">
        <v>0.83</v>
      </c>
      <c r="H27" s="19">
        <v>0.8</v>
      </c>
      <c r="I27" s="19">
        <v>0.78</v>
      </c>
      <c r="J27" s="19">
        <v>0.77</v>
      </c>
      <c r="K27" s="19">
        <v>0.75</v>
      </c>
      <c r="L27" s="19">
        <v>0.73</v>
      </c>
      <c r="M27" s="19">
        <v>0.72</v>
      </c>
      <c r="N27" s="19">
        <v>0.7</v>
      </c>
      <c r="O27" s="19">
        <v>0.68</v>
      </c>
      <c r="P27" s="19">
        <v>0.67</v>
      </c>
      <c r="Q27" s="19">
        <v>0.65</v>
      </c>
      <c r="R27" s="19">
        <v>0.63</v>
      </c>
      <c r="S27" s="19">
        <v>0.62</v>
      </c>
      <c r="T27" s="19">
        <v>0.6</v>
      </c>
      <c r="U27" t="s">
        <v>47</v>
      </c>
    </row>
    <row r="28" spans="1:21" ht="18">
      <c r="A28" t="s">
        <v>45</v>
      </c>
      <c r="B28" s="19">
        <f>1+$C$32*(-$B$26+B26)</f>
        <v>1</v>
      </c>
      <c r="C28" s="19">
        <f aca="true" t="shared" si="2" ref="C28:H28">1+$C$32*(-$B$26+C26)</f>
        <v>0.9666666666666667</v>
      </c>
      <c r="D28" s="19">
        <f t="shared" si="2"/>
        <v>0.9333333333333333</v>
      </c>
      <c r="E28" s="19">
        <f t="shared" si="2"/>
        <v>0.9</v>
      </c>
      <c r="F28" s="21">
        <f t="shared" si="2"/>
        <v>0.8666666666666667</v>
      </c>
      <c r="G28" s="19">
        <f t="shared" si="2"/>
        <v>0.8333333333333334</v>
      </c>
      <c r="H28" s="19">
        <f t="shared" si="2"/>
        <v>0.8</v>
      </c>
      <c r="I28" s="19">
        <f>0.8+$C$34*(-$H$26+I26)</f>
        <v>0.7833333333333333</v>
      </c>
      <c r="J28" s="19">
        <f aca="true" t="shared" si="3" ref="J28:T28">0.8+$C$34*(-$H$26+J26)</f>
        <v>0.7666666666666667</v>
      </c>
      <c r="K28" s="19">
        <f t="shared" si="3"/>
        <v>0.75</v>
      </c>
      <c r="L28" s="19">
        <f t="shared" si="3"/>
        <v>0.7333333333333334</v>
      </c>
      <c r="M28" s="19">
        <f t="shared" si="3"/>
        <v>0.7166666666666667</v>
      </c>
      <c r="N28" s="19">
        <f t="shared" si="3"/>
        <v>0.7</v>
      </c>
      <c r="O28" s="19">
        <f t="shared" si="3"/>
        <v>0.6833333333333333</v>
      </c>
      <c r="P28" s="19">
        <f t="shared" si="3"/>
        <v>0.6666666666666667</v>
      </c>
      <c r="Q28" s="19">
        <f t="shared" si="3"/>
        <v>0.65</v>
      </c>
      <c r="R28" s="19">
        <f t="shared" si="3"/>
        <v>0.6333333333333333</v>
      </c>
      <c r="S28" s="19">
        <f t="shared" si="3"/>
        <v>0.6166666666666667</v>
      </c>
      <c r="T28" s="19">
        <f t="shared" si="3"/>
        <v>0.6</v>
      </c>
      <c r="U28" t="s">
        <v>48</v>
      </c>
    </row>
    <row r="29" spans="2:21" ht="15">
      <c r="B29" s="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6" ht="15">
      <c r="A30" s="17" t="s">
        <v>32</v>
      </c>
      <c r="F30" t="s">
        <v>33</v>
      </c>
    </row>
    <row r="31" ht="15">
      <c r="A31" s="18" t="s">
        <v>34</v>
      </c>
    </row>
    <row r="32" spans="2:5" ht="15">
      <c r="B32" s="2" t="s">
        <v>35</v>
      </c>
      <c r="C32">
        <f>(H27-B27)/(H26-B26)</f>
        <v>-0.001333333333333333</v>
      </c>
      <c r="D32" s="20" t="s">
        <v>36</v>
      </c>
      <c r="E32" s="1">
        <v>1</v>
      </c>
    </row>
    <row r="33" ht="15">
      <c r="A33" s="18" t="s">
        <v>37</v>
      </c>
    </row>
    <row r="34" spans="2:5" ht="15">
      <c r="B34" s="2" t="s">
        <v>35</v>
      </c>
      <c r="C34">
        <f>(T27-H27)/(T26-H26)</f>
        <v>-0.0006666666666666669</v>
      </c>
      <c r="D34" s="20" t="s">
        <v>36</v>
      </c>
      <c r="E34" s="1">
        <v>0.8</v>
      </c>
    </row>
    <row r="36" spans="1:18" ht="18.75">
      <c r="A36" s="38" t="s">
        <v>39</v>
      </c>
      <c r="B36" s="36"/>
      <c r="C36" s="36"/>
      <c r="D36" s="36"/>
      <c r="E36" s="36"/>
      <c r="F36" s="36"/>
      <c r="G36" s="36"/>
      <c r="H36" s="36"/>
      <c r="I36" s="36"/>
      <c r="J36" s="36"/>
      <c r="K36" s="36" t="s">
        <v>46</v>
      </c>
      <c r="L36" s="36"/>
      <c r="M36" s="36"/>
      <c r="N36" s="36"/>
      <c r="O36" s="36"/>
      <c r="P36" s="36"/>
      <c r="Q36" s="36"/>
      <c r="R36" s="36"/>
    </row>
    <row r="37" spans="1:18" ht="15">
      <c r="A37" s="31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5">
      <c r="A38" s="29"/>
      <c r="B38" s="30"/>
      <c r="C38" s="6" t="s">
        <v>41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</row>
    <row r="39" spans="1:18" ht="15">
      <c r="A39" s="13" t="s">
        <v>40</v>
      </c>
      <c r="B39" s="32"/>
      <c r="C39" s="33">
        <v>5</v>
      </c>
      <c r="D39" s="33">
        <f aca="true" t="shared" si="4" ref="D39:R39">C39+1</f>
        <v>6</v>
      </c>
      <c r="E39" s="33">
        <f t="shared" si="4"/>
        <v>7</v>
      </c>
      <c r="F39" s="33">
        <f t="shared" si="4"/>
        <v>8</v>
      </c>
      <c r="G39" s="33">
        <f t="shared" si="4"/>
        <v>9</v>
      </c>
      <c r="H39" s="33">
        <f t="shared" si="4"/>
        <v>10</v>
      </c>
      <c r="I39" s="33">
        <f t="shared" si="4"/>
        <v>11</v>
      </c>
      <c r="J39" s="33">
        <f t="shared" si="4"/>
        <v>12</v>
      </c>
      <c r="K39" s="33">
        <f t="shared" si="4"/>
        <v>13</v>
      </c>
      <c r="L39" s="33">
        <f t="shared" si="4"/>
        <v>14</v>
      </c>
      <c r="M39" s="33">
        <f t="shared" si="4"/>
        <v>15</v>
      </c>
      <c r="N39" s="33">
        <f t="shared" si="4"/>
        <v>16</v>
      </c>
      <c r="O39" s="33">
        <f t="shared" si="4"/>
        <v>17</v>
      </c>
      <c r="P39" s="33">
        <f t="shared" si="4"/>
        <v>18</v>
      </c>
      <c r="Q39" s="33">
        <f t="shared" si="4"/>
        <v>19</v>
      </c>
      <c r="R39" s="33">
        <f t="shared" si="4"/>
        <v>20</v>
      </c>
    </row>
    <row r="40" spans="1:18" ht="15" customHeight="1">
      <c r="A40" s="37" t="s">
        <v>50</v>
      </c>
      <c r="B40" s="68" t="s">
        <v>42</v>
      </c>
      <c r="C40" s="67">
        <f>0.9*2.78*10^-5*$A42^1.25*C45</f>
        <v>1.0739607434678795</v>
      </c>
      <c r="D40" s="67">
        <f aca="true" t="shared" si="5" ref="D40:R40">0.9*2.78*10^-5*$A42^1.25*D45</f>
        <v>1.0498809061703933</v>
      </c>
      <c r="E40" s="67">
        <f t="shared" si="5"/>
        <v>1.0258010688729073</v>
      </c>
      <c r="F40" s="67">
        <f t="shared" si="5"/>
        <v>1.0017212315754214</v>
      </c>
      <c r="G40" s="67">
        <f t="shared" si="5"/>
        <v>0.9776413942779352</v>
      </c>
      <c r="H40" s="67">
        <f t="shared" si="5"/>
        <v>0.9535615569804492</v>
      </c>
      <c r="I40" s="67">
        <f t="shared" si="5"/>
        <v>0.9294817196829631</v>
      </c>
      <c r="J40" s="67">
        <f t="shared" si="5"/>
        <v>0.9054018823854769</v>
      </c>
      <c r="K40" s="67">
        <f t="shared" si="5"/>
        <v>0.8885459962772366</v>
      </c>
      <c r="L40" s="67">
        <f t="shared" si="5"/>
        <v>0.8765060776284936</v>
      </c>
      <c r="M40" s="67">
        <f t="shared" si="5"/>
        <v>0.8644661589797507</v>
      </c>
      <c r="N40" s="67">
        <f t="shared" si="5"/>
        <v>0.8524262403310076</v>
      </c>
      <c r="O40" s="67">
        <f t="shared" si="5"/>
        <v>0.8403863216822646</v>
      </c>
      <c r="P40" s="67">
        <f t="shared" si="5"/>
        <v>0.8283464030335215</v>
      </c>
      <c r="Q40" s="67">
        <f t="shared" si="5"/>
        <v>0.8163064843847784</v>
      </c>
      <c r="R40" s="67">
        <f t="shared" si="5"/>
        <v>0.8042665657360353</v>
      </c>
    </row>
    <row r="41" spans="1:18" ht="15">
      <c r="A41" s="9" t="s">
        <v>43</v>
      </c>
      <c r="B41" s="68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5" customHeight="1">
      <c r="A42" s="9">
        <v>5256</v>
      </c>
      <c r="B42" s="71" t="s">
        <v>55</v>
      </c>
      <c r="C42" s="35">
        <v>1.07</v>
      </c>
      <c r="D42" s="35">
        <v>1.05</v>
      </c>
      <c r="E42" s="35">
        <v>1.02</v>
      </c>
      <c r="F42" s="35">
        <v>1</v>
      </c>
      <c r="G42" s="35">
        <v>0.98</v>
      </c>
      <c r="H42" s="35">
        <v>0.96</v>
      </c>
      <c r="I42" s="35">
        <v>0.94</v>
      </c>
      <c r="J42" s="35">
        <v>0.92</v>
      </c>
      <c r="K42" s="35">
        <v>0.9</v>
      </c>
      <c r="L42" s="35">
        <v>0.88</v>
      </c>
      <c r="M42" s="35">
        <v>0.86</v>
      </c>
      <c r="N42" s="35">
        <v>0.85</v>
      </c>
      <c r="O42" s="35">
        <v>0.83</v>
      </c>
      <c r="P42" s="35">
        <v>0.81</v>
      </c>
      <c r="Q42" s="35">
        <v>0.8</v>
      </c>
      <c r="R42" s="35">
        <v>0.78</v>
      </c>
    </row>
    <row r="43" spans="1:18" ht="17.25">
      <c r="A43" s="9" t="s">
        <v>13</v>
      </c>
      <c r="B43" s="71"/>
      <c r="C43" s="35">
        <f>C40-C42</f>
        <v>0.003960743467879446</v>
      </c>
      <c r="D43" s="35">
        <f aca="true" t="shared" si="6" ref="D43:R43">D40-D42</f>
        <v>-0.0001190938296067312</v>
      </c>
      <c r="E43" s="35">
        <f t="shared" si="6"/>
        <v>0.005801068872907322</v>
      </c>
      <c r="F43" s="35">
        <f t="shared" si="6"/>
        <v>0.001721231575421367</v>
      </c>
      <c r="G43" s="35">
        <f t="shared" si="6"/>
        <v>-0.0023586057220648105</v>
      </c>
      <c r="H43" s="35">
        <f t="shared" si="6"/>
        <v>-0.006438443019550766</v>
      </c>
      <c r="I43" s="35">
        <f t="shared" si="6"/>
        <v>-0.010518280317036832</v>
      </c>
      <c r="J43" s="35">
        <f t="shared" si="6"/>
        <v>-0.01459811761452312</v>
      </c>
      <c r="K43" s="35">
        <f t="shared" si="6"/>
        <v>-0.011454003722763395</v>
      </c>
      <c r="L43" s="35">
        <f t="shared" si="6"/>
        <v>-0.003493922371506364</v>
      </c>
      <c r="M43" s="35">
        <f t="shared" si="6"/>
        <v>0.004466158979750667</v>
      </c>
      <c r="N43" s="35">
        <f t="shared" si="6"/>
        <v>0.0024262403310075786</v>
      </c>
      <c r="O43" s="35">
        <f t="shared" si="6"/>
        <v>0.01038632168226461</v>
      </c>
      <c r="P43" s="35">
        <f t="shared" si="6"/>
        <v>0.01834640303352142</v>
      </c>
      <c r="Q43" s="35">
        <f t="shared" si="6"/>
        <v>0.01630648438477833</v>
      </c>
      <c r="R43" s="35">
        <f t="shared" si="6"/>
        <v>0.02426656573603525</v>
      </c>
    </row>
    <row r="44" spans="1:18" ht="15">
      <c r="A44" s="9" t="s">
        <v>44</v>
      </c>
      <c r="B44" s="11" t="s">
        <v>31</v>
      </c>
      <c r="C44" s="34">
        <f>C$39*1000/$A45</f>
        <v>80.64516129032258</v>
      </c>
      <c r="D44" s="34">
        <f aca="true" t="shared" si="7" ref="D44:R44">D$39*1000/$A45</f>
        <v>96.7741935483871</v>
      </c>
      <c r="E44" s="34">
        <f t="shared" si="7"/>
        <v>112.90322580645162</v>
      </c>
      <c r="F44" s="34">
        <f t="shared" si="7"/>
        <v>129.03225806451613</v>
      </c>
      <c r="G44" s="34">
        <f t="shared" si="7"/>
        <v>145.16129032258064</v>
      </c>
      <c r="H44" s="34">
        <f t="shared" si="7"/>
        <v>161.29032258064515</v>
      </c>
      <c r="I44" s="34">
        <f t="shared" si="7"/>
        <v>177.41935483870967</v>
      </c>
      <c r="J44" s="34">
        <f t="shared" si="7"/>
        <v>193.5483870967742</v>
      </c>
      <c r="K44" s="34">
        <f t="shared" si="7"/>
        <v>209.67741935483872</v>
      </c>
      <c r="L44" s="34">
        <f t="shared" si="7"/>
        <v>225.80645161290323</v>
      </c>
      <c r="M44" s="34">
        <f t="shared" si="7"/>
        <v>241.93548387096774</v>
      </c>
      <c r="N44" s="34">
        <f t="shared" si="7"/>
        <v>258.06451612903226</v>
      </c>
      <c r="O44" s="34">
        <f t="shared" si="7"/>
        <v>274.19354838709677</v>
      </c>
      <c r="P44" s="34">
        <f t="shared" si="7"/>
        <v>290.3225806451613</v>
      </c>
      <c r="Q44" s="34">
        <f t="shared" si="7"/>
        <v>306.4516129032258</v>
      </c>
      <c r="R44" s="34">
        <f t="shared" si="7"/>
        <v>322.5806451612903</v>
      </c>
    </row>
    <row r="45" spans="1:18" ht="18">
      <c r="A45" s="9">
        <v>62</v>
      </c>
      <c r="B45" s="11" t="s">
        <v>30</v>
      </c>
      <c r="C45" s="35">
        <f>IF(C44&gt;=50,IF(C44&lt;=200,$C$32*(C44-$B$26)+1,$C$34*(C44-$H$26)+0.8),1)</f>
        <v>0.9591397849462365</v>
      </c>
      <c r="D45" s="35">
        <f aca="true" t="shared" si="8" ref="D45:R45">IF(D44&gt;=50,IF(D44&lt;=200,$C$32*(D44-$B$26)+1,$C$34*(D44-$H$26)+0.8),1)</f>
        <v>0.9376344086021505</v>
      </c>
      <c r="E45" s="35">
        <f t="shared" si="8"/>
        <v>0.9161290322580645</v>
      </c>
      <c r="F45" s="35">
        <f t="shared" si="8"/>
        <v>0.8946236559139785</v>
      </c>
      <c r="G45" s="35">
        <f t="shared" si="8"/>
        <v>0.8731182795698925</v>
      </c>
      <c r="H45" s="35">
        <f t="shared" si="8"/>
        <v>0.8516129032258065</v>
      </c>
      <c r="I45" s="35">
        <f t="shared" si="8"/>
        <v>0.8301075268817205</v>
      </c>
      <c r="J45" s="35">
        <f t="shared" si="8"/>
        <v>0.8086021505376344</v>
      </c>
      <c r="K45" s="35">
        <f t="shared" si="8"/>
        <v>0.7935483870967742</v>
      </c>
      <c r="L45" s="35">
        <f t="shared" si="8"/>
        <v>0.7827956989247312</v>
      </c>
      <c r="M45" s="35">
        <f t="shared" si="8"/>
        <v>0.7720430107526882</v>
      </c>
      <c r="N45" s="35">
        <f t="shared" si="8"/>
        <v>0.7612903225806452</v>
      </c>
      <c r="O45" s="35">
        <f t="shared" si="8"/>
        <v>0.7505376344086022</v>
      </c>
      <c r="P45" s="35">
        <f t="shared" si="8"/>
        <v>0.7397849462365592</v>
      </c>
      <c r="Q45" s="35">
        <f t="shared" si="8"/>
        <v>0.7290322580645161</v>
      </c>
      <c r="R45" s="35">
        <f t="shared" si="8"/>
        <v>0.7182795698924731</v>
      </c>
    </row>
    <row r="46" spans="1:18" ht="15">
      <c r="A46" s="9" t="s">
        <v>3</v>
      </c>
      <c r="B46" s="9">
        <v>250</v>
      </c>
      <c r="C46" s="12">
        <f>ROUNDUP(C40*100^2/$B46,0)</f>
        <v>43</v>
      </c>
      <c r="D46" s="12">
        <f aca="true" t="shared" si="9" ref="D46:R46">ROUNDUP(D40*100^2/$B46,0)</f>
        <v>42</v>
      </c>
      <c r="E46" s="12">
        <f t="shared" si="9"/>
        <v>42</v>
      </c>
      <c r="F46" s="12">
        <f t="shared" si="9"/>
        <v>41</v>
      </c>
      <c r="G46" s="12">
        <f t="shared" si="9"/>
        <v>40</v>
      </c>
      <c r="H46" s="12">
        <f t="shared" si="9"/>
        <v>39</v>
      </c>
      <c r="I46" s="12">
        <f t="shared" si="9"/>
        <v>38</v>
      </c>
      <c r="J46" s="12">
        <f t="shared" si="9"/>
        <v>37</v>
      </c>
      <c r="K46" s="12">
        <f t="shared" si="9"/>
        <v>36</v>
      </c>
      <c r="L46" s="12">
        <f t="shared" si="9"/>
        <v>36</v>
      </c>
      <c r="M46" s="12">
        <f t="shared" si="9"/>
        <v>35</v>
      </c>
      <c r="N46" s="12">
        <f t="shared" si="9"/>
        <v>35</v>
      </c>
      <c r="O46" s="12">
        <f t="shared" si="9"/>
        <v>34</v>
      </c>
      <c r="P46" s="12">
        <f t="shared" si="9"/>
        <v>34</v>
      </c>
      <c r="Q46" s="12">
        <f t="shared" si="9"/>
        <v>33</v>
      </c>
      <c r="R46" s="12">
        <f t="shared" si="9"/>
        <v>33</v>
      </c>
    </row>
    <row r="47" spans="1:18" ht="15">
      <c r="A47" s="9"/>
      <c r="B47" s="9">
        <v>300</v>
      </c>
      <c r="C47" s="12">
        <f>ROUNDUP(C40*100^2/$B47,0)</f>
        <v>36</v>
      </c>
      <c r="D47" s="12">
        <f aca="true" t="shared" si="10" ref="D47:R47">ROUNDUP(D40*100^2/$B47,0)</f>
        <v>35</v>
      </c>
      <c r="E47" s="12">
        <f t="shared" si="10"/>
        <v>35</v>
      </c>
      <c r="F47" s="12">
        <f t="shared" si="10"/>
        <v>34</v>
      </c>
      <c r="G47" s="12">
        <f t="shared" si="10"/>
        <v>33</v>
      </c>
      <c r="H47" s="12">
        <f t="shared" si="10"/>
        <v>32</v>
      </c>
      <c r="I47" s="12">
        <f t="shared" si="10"/>
        <v>31</v>
      </c>
      <c r="J47" s="12">
        <f t="shared" si="10"/>
        <v>31</v>
      </c>
      <c r="K47" s="12">
        <f t="shared" si="10"/>
        <v>30</v>
      </c>
      <c r="L47" s="12">
        <f t="shared" si="10"/>
        <v>30</v>
      </c>
      <c r="M47" s="12">
        <f t="shared" si="10"/>
        <v>29</v>
      </c>
      <c r="N47" s="12">
        <f t="shared" si="10"/>
        <v>29</v>
      </c>
      <c r="O47" s="12">
        <f t="shared" si="10"/>
        <v>29</v>
      </c>
      <c r="P47" s="12">
        <f t="shared" si="10"/>
        <v>28</v>
      </c>
      <c r="Q47" s="12">
        <f t="shared" si="10"/>
        <v>28</v>
      </c>
      <c r="R47" s="12">
        <f t="shared" si="10"/>
        <v>27</v>
      </c>
    </row>
    <row r="48" spans="1:18" ht="15">
      <c r="A48" s="9"/>
      <c r="B48" s="9">
        <v>350</v>
      </c>
      <c r="C48" s="12">
        <f>ROUNDUP(C40*100^2/$B48,0)</f>
        <v>31</v>
      </c>
      <c r="D48" s="12">
        <f aca="true" t="shared" si="11" ref="D48:R48">ROUNDUP(D40*100^2/$B48,0)</f>
        <v>30</v>
      </c>
      <c r="E48" s="12">
        <f t="shared" si="11"/>
        <v>30</v>
      </c>
      <c r="F48" s="12">
        <f t="shared" si="11"/>
        <v>29</v>
      </c>
      <c r="G48" s="12">
        <f t="shared" si="11"/>
        <v>28</v>
      </c>
      <c r="H48" s="12">
        <f t="shared" si="11"/>
        <v>28</v>
      </c>
      <c r="I48" s="12">
        <f t="shared" si="11"/>
        <v>27</v>
      </c>
      <c r="J48" s="12">
        <f t="shared" si="11"/>
        <v>26</v>
      </c>
      <c r="K48" s="12">
        <f t="shared" si="11"/>
        <v>26</v>
      </c>
      <c r="L48" s="12">
        <f t="shared" si="11"/>
        <v>26</v>
      </c>
      <c r="M48" s="12">
        <f t="shared" si="11"/>
        <v>25</v>
      </c>
      <c r="N48" s="12">
        <f t="shared" si="11"/>
        <v>25</v>
      </c>
      <c r="O48" s="12">
        <f t="shared" si="11"/>
        <v>25</v>
      </c>
      <c r="P48" s="12">
        <f t="shared" si="11"/>
        <v>24</v>
      </c>
      <c r="Q48" s="12">
        <f t="shared" si="11"/>
        <v>24</v>
      </c>
      <c r="R48" s="12">
        <f t="shared" si="11"/>
        <v>23</v>
      </c>
    </row>
    <row r="49" spans="1:18" ht="15">
      <c r="A49" s="13"/>
      <c r="B49" s="13">
        <v>400</v>
      </c>
      <c r="C49" s="14">
        <f>ROUNDUP(C40*100^2/$B49,0)</f>
        <v>27</v>
      </c>
      <c r="D49" s="14">
        <f aca="true" t="shared" si="12" ref="D49:R49">ROUNDUP(D40*100^2/$B49,0)</f>
        <v>27</v>
      </c>
      <c r="E49" s="14">
        <f t="shared" si="12"/>
        <v>26</v>
      </c>
      <c r="F49" s="14">
        <f t="shared" si="12"/>
        <v>26</v>
      </c>
      <c r="G49" s="14">
        <f t="shared" si="12"/>
        <v>25</v>
      </c>
      <c r="H49" s="14">
        <f t="shared" si="12"/>
        <v>24</v>
      </c>
      <c r="I49" s="14">
        <f t="shared" si="12"/>
        <v>24</v>
      </c>
      <c r="J49" s="14">
        <f t="shared" si="12"/>
        <v>23</v>
      </c>
      <c r="K49" s="14">
        <f t="shared" si="12"/>
        <v>23</v>
      </c>
      <c r="L49" s="14">
        <f t="shared" si="12"/>
        <v>22</v>
      </c>
      <c r="M49" s="14">
        <f t="shared" si="12"/>
        <v>22</v>
      </c>
      <c r="N49" s="14">
        <f t="shared" si="12"/>
        <v>22</v>
      </c>
      <c r="O49" s="14">
        <f t="shared" si="12"/>
        <v>22</v>
      </c>
      <c r="P49" s="14">
        <f t="shared" si="12"/>
        <v>21</v>
      </c>
      <c r="Q49" s="14">
        <f t="shared" si="12"/>
        <v>21</v>
      </c>
      <c r="R49" s="14">
        <f t="shared" si="12"/>
        <v>21</v>
      </c>
    </row>
    <row r="50" spans="1:18" ht="15" customHeight="1">
      <c r="A50" s="37" t="s">
        <v>51</v>
      </c>
      <c r="B50" s="68" t="s">
        <v>42</v>
      </c>
      <c r="C50" s="67">
        <f>0.9*2.78*10^-5*$A52^1.25*C55</f>
        <v>1.6588283721140271</v>
      </c>
      <c r="D50" s="67">
        <f aca="true" t="shared" si="13" ref="D50:R50">0.9*2.78*10^-5*$A52^1.25*D55</f>
        <v>1.6275297235835737</v>
      </c>
      <c r="E50" s="67">
        <f t="shared" si="13"/>
        <v>1.5962310750531203</v>
      </c>
      <c r="F50" s="67">
        <f t="shared" si="13"/>
        <v>1.5649324265226672</v>
      </c>
      <c r="G50" s="67">
        <f t="shared" si="13"/>
        <v>1.5336337779922138</v>
      </c>
      <c r="H50" s="67">
        <f t="shared" si="13"/>
        <v>1.5023351294617604</v>
      </c>
      <c r="I50" s="67">
        <f t="shared" si="13"/>
        <v>1.4710364809313072</v>
      </c>
      <c r="J50" s="67">
        <f t="shared" si="13"/>
        <v>1.4397378324008536</v>
      </c>
      <c r="K50" s="67">
        <f t="shared" si="13"/>
        <v>1.4084391838704005</v>
      </c>
      <c r="L50" s="67">
        <f t="shared" si="13"/>
        <v>1.377140535339947</v>
      </c>
      <c r="M50" s="67">
        <f t="shared" si="13"/>
        <v>1.3536665489421071</v>
      </c>
      <c r="N50" s="67">
        <f t="shared" si="13"/>
        <v>1.3380172246768804</v>
      </c>
      <c r="O50" s="67">
        <f t="shared" si="13"/>
        <v>1.3223679004116538</v>
      </c>
      <c r="P50" s="67">
        <f t="shared" si="13"/>
        <v>1.306718576146427</v>
      </c>
      <c r="Q50" s="67">
        <f t="shared" si="13"/>
        <v>1.2910692518812006</v>
      </c>
      <c r="R50" s="67">
        <f t="shared" si="13"/>
        <v>1.2754199276159737</v>
      </c>
    </row>
    <row r="51" spans="1:18" ht="15">
      <c r="A51" s="9" t="s">
        <v>43</v>
      </c>
      <c r="B51" s="68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1:18" ht="15">
      <c r="A52" s="9">
        <v>7347</v>
      </c>
      <c r="B52" s="71" t="s">
        <v>55</v>
      </c>
      <c r="C52" s="35">
        <v>1.68</v>
      </c>
      <c r="D52" s="35">
        <v>1.65</v>
      </c>
      <c r="E52" s="35">
        <v>1.62</v>
      </c>
      <c r="F52" s="35">
        <v>1.59</v>
      </c>
      <c r="G52" s="35">
        <v>1.56</v>
      </c>
      <c r="H52" s="35">
        <v>1.53</v>
      </c>
      <c r="I52" s="35">
        <v>1.5</v>
      </c>
      <c r="J52" s="35">
        <v>1.48</v>
      </c>
      <c r="K52" s="35">
        <v>1.45</v>
      </c>
      <c r="L52" s="35">
        <v>1.42</v>
      </c>
      <c r="M52" s="35">
        <v>1.4</v>
      </c>
      <c r="N52" s="35">
        <v>1.37</v>
      </c>
      <c r="O52" s="35">
        <v>1.35</v>
      </c>
      <c r="P52" s="35">
        <v>1.33</v>
      </c>
      <c r="Q52" s="35">
        <v>1.3</v>
      </c>
      <c r="R52" s="35">
        <v>1.28</v>
      </c>
    </row>
    <row r="53" spans="1:18" ht="17.25">
      <c r="A53" s="9" t="s">
        <v>13</v>
      </c>
      <c r="B53" s="71"/>
      <c r="C53" s="35">
        <f>C50-C52</f>
        <v>-0.02117162788597282</v>
      </c>
      <c r="D53" s="35">
        <f aca="true" t="shared" si="14" ref="D53:R53">D50-D52</f>
        <v>-0.022470276416426183</v>
      </c>
      <c r="E53" s="35">
        <f t="shared" si="14"/>
        <v>-0.023768924946879766</v>
      </c>
      <c r="F53" s="35">
        <f t="shared" si="14"/>
        <v>-0.025067573477332905</v>
      </c>
      <c r="G53" s="35">
        <f t="shared" si="14"/>
        <v>-0.026366222007786266</v>
      </c>
      <c r="H53" s="35">
        <f t="shared" si="14"/>
        <v>-0.027664870538239628</v>
      </c>
      <c r="I53" s="35">
        <f t="shared" si="14"/>
        <v>-0.028963519068692767</v>
      </c>
      <c r="J53" s="35">
        <f t="shared" si="14"/>
        <v>-0.04026216759914636</v>
      </c>
      <c r="K53" s="35">
        <f t="shared" si="14"/>
        <v>-0.0415608161295995</v>
      </c>
      <c r="L53" s="35">
        <f t="shared" si="14"/>
        <v>-0.04285946466005286</v>
      </c>
      <c r="M53" s="35">
        <f t="shared" si="14"/>
        <v>-0.04633345105789277</v>
      </c>
      <c r="N53" s="35">
        <f t="shared" si="14"/>
        <v>-0.03198277532311966</v>
      </c>
      <c r="O53" s="35">
        <f t="shared" si="14"/>
        <v>-0.027632099588346337</v>
      </c>
      <c r="P53" s="35">
        <f t="shared" si="14"/>
        <v>-0.023281423853573013</v>
      </c>
      <c r="Q53" s="35">
        <f t="shared" si="14"/>
        <v>-0.008930748118799459</v>
      </c>
      <c r="R53" s="35">
        <f t="shared" si="14"/>
        <v>-0.004580072384026357</v>
      </c>
    </row>
    <row r="54" spans="1:18" ht="15">
      <c r="A54" s="9" t="s">
        <v>44</v>
      </c>
      <c r="B54" s="11" t="s">
        <v>31</v>
      </c>
      <c r="C54" s="34">
        <f>C$39*1000/$A55</f>
        <v>68.96551724137932</v>
      </c>
      <c r="D54" s="34">
        <f aca="true" t="shared" si="15" ref="D54:R54">D$39*1000/$A55</f>
        <v>82.75862068965517</v>
      </c>
      <c r="E54" s="34">
        <f t="shared" si="15"/>
        <v>96.55172413793103</v>
      </c>
      <c r="F54" s="34">
        <f t="shared" si="15"/>
        <v>110.34482758620689</v>
      </c>
      <c r="G54" s="34">
        <f t="shared" si="15"/>
        <v>124.13793103448276</v>
      </c>
      <c r="H54" s="34">
        <f t="shared" si="15"/>
        <v>137.93103448275863</v>
      </c>
      <c r="I54" s="34">
        <f t="shared" si="15"/>
        <v>151.72413793103448</v>
      </c>
      <c r="J54" s="34">
        <f t="shared" si="15"/>
        <v>165.51724137931035</v>
      </c>
      <c r="K54" s="34">
        <f t="shared" si="15"/>
        <v>179.31034482758622</v>
      </c>
      <c r="L54" s="34">
        <f t="shared" si="15"/>
        <v>193.10344827586206</v>
      </c>
      <c r="M54" s="34">
        <f t="shared" si="15"/>
        <v>206.89655172413794</v>
      </c>
      <c r="N54" s="34">
        <f t="shared" si="15"/>
        <v>220.68965517241378</v>
      </c>
      <c r="O54" s="34">
        <f t="shared" si="15"/>
        <v>234.48275862068965</v>
      </c>
      <c r="P54" s="34">
        <f t="shared" si="15"/>
        <v>248.27586206896552</v>
      </c>
      <c r="Q54" s="34">
        <f t="shared" si="15"/>
        <v>262.0689655172414</v>
      </c>
      <c r="R54" s="34">
        <f t="shared" si="15"/>
        <v>275.86206896551727</v>
      </c>
    </row>
    <row r="55" spans="1:18" ht="18">
      <c r="A55" s="9">
        <v>72.5</v>
      </c>
      <c r="B55" s="11" t="s">
        <v>30</v>
      </c>
      <c r="C55" s="35">
        <f>IF(C54&gt;=50,IF(C54&lt;=200,$C$32*(C54-$B$26)+1,$C$34*(C54-$H$26)+0.8),1)</f>
        <v>0.9747126436781609</v>
      </c>
      <c r="D55" s="35">
        <f>IF(D54&gt;=50,IF(D54&lt;=200,$C$32*(D54-$B$26)+1,$C$34*(D54-$H$26)+0.8),1)</f>
        <v>0.9563218390804598</v>
      </c>
      <c r="E55" s="35">
        <f>IF(E54&gt;=50,IF(E54&lt;=200,$C$32*(E54-$B$26)+1,$C$34*(E54-$H$26)+0.8),1)</f>
        <v>0.9379310344827586</v>
      </c>
      <c r="F55" s="35">
        <f>IF(F54&gt;=50,IF(F54&lt;=200,$C$32*(F54-$B$26)+1,$C$34*(F54-$H$26)+0.8),1)</f>
        <v>0.9195402298850575</v>
      </c>
      <c r="G55" s="35">
        <f>IF(G54&gt;=50,IF(G54&lt;=200,$C$32*(G54-$B$26)+1,$C$34*(G54-$H$26)+0.8),1)</f>
        <v>0.9011494252873563</v>
      </c>
      <c r="H55" s="35">
        <f>IF(H54&gt;=50,IF(H54&lt;=200,$C$32*(H54-$B$26)+1,$C$34*(H54-$H$26)+0.8),1)</f>
        <v>0.8827586206896552</v>
      </c>
      <c r="I55" s="35">
        <f>IF(I54&gt;=50,IF(I54&lt;=200,$C$32*(I54-$B$26)+1,$C$34*(I54-$H$26)+0.8),1)</f>
        <v>0.8643678160919541</v>
      </c>
      <c r="J55" s="35">
        <f>IF(J54&gt;=50,IF(J54&lt;=200,$C$32*(J54-$B$26)+1,$C$34*(J54-$H$26)+0.8),1)</f>
        <v>0.8459770114942529</v>
      </c>
      <c r="K55" s="35">
        <f>IF(K54&gt;=50,IF(K54&lt;=200,$C$32*(K54-$B$26)+1,$C$34*(K54-$H$26)+0.8),1)</f>
        <v>0.8275862068965517</v>
      </c>
      <c r="L55" s="35">
        <f>IF(L54&gt;=50,IF(L54&lt;=200,$C$32*(L54-$B$26)+1,$C$34*(L54-$H$26)+0.8),1)</f>
        <v>0.8091954022988506</v>
      </c>
      <c r="M55" s="35">
        <f>IF(M54&gt;=50,IF(M54&lt;=200,$C$32*(M54-$B$26)+1,$C$34*(M54-$H$26)+0.8),1)</f>
        <v>0.7954022988505748</v>
      </c>
      <c r="N55" s="35">
        <f>IF(N54&gt;=50,IF(N54&lt;=200,$C$32*(N54-$B$26)+1,$C$34*(N54-$H$26)+0.8),1)</f>
        <v>0.7862068965517242</v>
      </c>
      <c r="O55" s="35">
        <f>IF(O54&gt;=50,IF(O54&lt;=200,$C$32*(O54-$B$26)+1,$C$34*(O54-$H$26)+0.8),1)</f>
        <v>0.7770114942528736</v>
      </c>
      <c r="P55" s="35">
        <f>IF(P54&gt;=50,IF(P54&lt;=200,$C$32*(P54-$B$26)+1,$C$34*(P54-$H$26)+0.8),1)</f>
        <v>0.767816091954023</v>
      </c>
      <c r="Q55" s="35">
        <f>IF(Q54&gt;=50,IF(Q54&lt;=200,$C$32*(Q54-$B$26)+1,$C$34*(Q54-$H$26)+0.8),1)</f>
        <v>0.7586206896551725</v>
      </c>
      <c r="R55" s="35">
        <f>IF(R54&gt;=50,IF(R54&lt;=200,$C$32*(R54-$B$26)+1,$C$34*(R54-$H$26)+0.8),1)</f>
        <v>0.7494252873563219</v>
      </c>
    </row>
    <row r="56" spans="1:18" ht="15">
      <c r="A56" s="9" t="s">
        <v>3</v>
      </c>
      <c r="B56" s="9">
        <v>250</v>
      </c>
      <c r="C56" s="12">
        <f>ROUNDUP(C50*100^2/$B56,0)</f>
        <v>67</v>
      </c>
      <c r="D56" s="12">
        <f aca="true" t="shared" si="16" ref="D56:R56">ROUNDUP(D50*100^2/$B56,0)</f>
        <v>66</v>
      </c>
      <c r="E56" s="12">
        <f t="shared" si="16"/>
        <v>64</v>
      </c>
      <c r="F56" s="12">
        <f t="shared" si="16"/>
        <v>63</v>
      </c>
      <c r="G56" s="12">
        <f t="shared" si="16"/>
        <v>62</v>
      </c>
      <c r="H56" s="12">
        <f t="shared" si="16"/>
        <v>61</v>
      </c>
      <c r="I56" s="12">
        <f t="shared" si="16"/>
        <v>59</v>
      </c>
      <c r="J56" s="12">
        <f t="shared" si="16"/>
        <v>58</v>
      </c>
      <c r="K56" s="12">
        <f t="shared" si="16"/>
        <v>57</v>
      </c>
      <c r="L56" s="12">
        <f t="shared" si="16"/>
        <v>56</v>
      </c>
      <c r="M56" s="12">
        <f t="shared" si="16"/>
        <v>55</v>
      </c>
      <c r="N56" s="12">
        <f t="shared" si="16"/>
        <v>54</v>
      </c>
      <c r="O56" s="12">
        <f t="shared" si="16"/>
        <v>53</v>
      </c>
      <c r="P56" s="12">
        <f t="shared" si="16"/>
        <v>53</v>
      </c>
      <c r="Q56" s="12">
        <f t="shared" si="16"/>
        <v>52</v>
      </c>
      <c r="R56" s="12">
        <f t="shared" si="16"/>
        <v>52</v>
      </c>
    </row>
    <row r="57" spans="1:18" ht="15">
      <c r="A57" s="9"/>
      <c r="B57" s="9">
        <v>300</v>
      </c>
      <c r="C57" s="12">
        <f>ROUNDUP(C50*100^2/$B57,0)</f>
        <v>56</v>
      </c>
      <c r="D57" s="12">
        <f aca="true" t="shared" si="17" ref="D57:R57">ROUNDUP(D50*100^2/$B57,0)</f>
        <v>55</v>
      </c>
      <c r="E57" s="12">
        <f t="shared" si="17"/>
        <v>54</v>
      </c>
      <c r="F57" s="12">
        <f t="shared" si="17"/>
        <v>53</v>
      </c>
      <c r="G57" s="12">
        <f t="shared" si="17"/>
        <v>52</v>
      </c>
      <c r="H57" s="12">
        <f t="shared" si="17"/>
        <v>51</v>
      </c>
      <c r="I57" s="12">
        <f t="shared" si="17"/>
        <v>50</v>
      </c>
      <c r="J57" s="12">
        <f t="shared" si="17"/>
        <v>48</v>
      </c>
      <c r="K57" s="12">
        <f t="shared" si="17"/>
        <v>47</v>
      </c>
      <c r="L57" s="12">
        <f t="shared" si="17"/>
        <v>46</v>
      </c>
      <c r="M57" s="12">
        <f t="shared" si="17"/>
        <v>46</v>
      </c>
      <c r="N57" s="12">
        <f t="shared" si="17"/>
        <v>45</v>
      </c>
      <c r="O57" s="12">
        <f t="shared" si="17"/>
        <v>45</v>
      </c>
      <c r="P57" s="12">
        <f t="shared" si="17"/>
        <v>44</v>
      </c>
      <c r="Q57" s="12">
        <f t="shared" si="17"/>
        <v>44</v>
      </c>
      <c r="R57" s="12">
        <f t="shared" si="17"/>
        <v>43</v>
      </c>
    </row>
    <row r="58" spans="1:18" ht="15">
      <c r="A58" s="9"/>
      <c r="B58" s="9">
        <v>350</v>
      </c>
      <c r="C58" s="12">
        <f>ROUNDUP(C50*100^2/$B58,0)</f>
        <v>48</v>
      </c>
      <c r="D58" s="12">
        <f aca="true" t="shared" si="18" ref="D58:R58">ROUNDUP(D50*100^2/$B58,0)</f>
        <v>47</v>
      </c>
      <c r="E58" s="12">
        <f t="shared" si="18"/>
        <v>46</v>
      </c>
      <c r="F58" s="12">
        <f t="shared" si="18"/>
        <v>45</v>
      </c>
      <c r="G58" s="12">
        <f t="shared" si="18"/>
        <v>44</v>
      </c>
      <c r="H58" s="12">
        <f t="shared" si="18"/>
        <v>43</v>
      </c>
      <c r="I58" s="12">
        <f t="shared" si="18"/>
        <v>43</v>
      </c>
      <c r="J58" s="12">
        <f t="shared" si="18"/>
        <v>42</v>
      </c>
      <c r="K58" s="12">
        <f t="shared" si="18"/>
        <v>41</v>
      </c>
      <c r="L58" s="12">
        <f t="shared" si="18"/>
        <v>40</v>
      </c>
      <c r="M58" s="12">
        <f t="shared" si="18"/>
        <v>39</v>
      </c>
      <c r="N58" s="12">
        <f t="shared" si="18"/>
        <v>39</v>
      </c>
      <c r="O58" s="12">
        <f t="shared" si="18"/>
        <v>38</v>
      </c>
      <c r="P58" s="12">
        <f t="shared" si="18"/>
        <v>38</v>
      </c>
      <c r="Q58" s="12">
        <f t="shared" si="18"/>
        <v>37</v>
      </c>
      <c r="R58" s="12">
        <f t="shared" si="18"/>
        <v>37</v>
      </c>
    </row>
    <row r="59" spans="1:18" ht="15">
      <c r="A59" s="13"/>
      <c r="B59" s="13">
        <v>400</v>
      </c>
      <c r="C59" s="14">
        <f>ROUNDUP(C50*100^2/$B59,0)</f>
        <v>42</v>
      </c>
      <c r="D59" s="14">
        <f aca="true" t="shared" si="19" ref="D59:R59">ROUNDUP(D50*100^2/$B59,0)</f>
        <v>41</v>
      </c>
      <c r="E59" s="14">
        <f t="shared" si="19"/>
        <v>40</v>
      </c>
      <c r="F59" s="14">
        <f t="shared" si="19"/>
        <v>40</v>
      </c>
      <c r="G59" s="14">
        <f t="shared" si="19"/>
        <v>39</v>
      </c>
      <c r="H59" s="14">
        <f t="shared" si="19"/>
        <v>38</v>
      </c>
      <c r="I59" s="14">
        <f t="shared" si="19"/>
        <v>37</v>
      </c>
      <c r="J59" s="14">
        <f t="shared" si="19"/>
        <v>36</v>
      </c>
      <c r="K59" s="14">
        <f t="shared" si="19"/>
        <v>36</v>
      </c>
      <c r="L59" s="14">
        <f t="shared" si="19"/>
        <v>35</v>
      </c>
      <c r="M59" s="14">
        <f t="shared" si="19"/>
        <v>34</v>
      </c>
      <c r="N59" s="14">
        <f t="shared" si="19"/>
        <v>34</v>
      </c>
      <c r="O59" s="14">
        <f t="shared" si="19"/>
        <v>34</v>
      </c>
      <c r="P59" s="14">
        <f t="shared" si="19"/>
        <v>33</v>
      </c>
      <c r="Q59" s="14">
        <f t="shared" si="19"/>
        <v>33</v>
      </c>
      <c r="R59" s="14">
        <f t="shared" si="19"/>
        <v>32</v>
      </c>
    </row>
    <row r="60" spans="1:18" ht="15" customHeight="1">
      <c r="A60" s="37" t="s">
        <v>52</v>
      </c>
      <c r="B60" s="68" t="s">
        <v>42</v>
      </c>
      <c r="C60" s="67">
        <f>0.9*2.78*10^-5*$A62^1.25*C65</f>
        <v>2.652678374234227</v>
      </c>
      <c r="D60" s="67">
        <f aca="true" t="shared" si="20" ref="D60:R60">0.9*2.78*10^-5*$A62^1.25*D65</f>
        <v>2.611359396442417</v>
      </c>
      <c r="E60" s="67">
        <f t="shared" si="20"/>
        <v>2.5700404186506063</v>
      </c>
      <c r="F60" s="67">
        <f t="shared" si="20"/>
        <v>2.5287214408587957</v>
      </c>
      <c r="G60" s="67">
        <f t="shared" si="20"/>
        <v>2.4874024630669855</v>
      </c>
      <c r="H60" s="67">
        <f t="shared" si="20"/>
        <v>2.4460834852751754</v>
      </c>
      <c r="I60" s="67">
        <f t="shared" si="20"/>
        <v>2.404764507483365</v>
      </c>
      <c r="J60" s="67">
        <f t="shared" si="20"/>
        <v>2.3634455296915546</v>
      </c>
      <c r="K60" s="67">
        <f t="shared" si="20"/>
        <v>2.322126551899744</v>
      </c>
      <c r="L60" s="67">
        <f t="shared" si="20"/>
        <v>2.2808075741079334</v>
      </c>
      <c r="M60" s="67">
        <f t="shared" si="20"/>
        <v>2.2394885963161233</v>
      </c>
      <c r="N60" s="67">
        <f t="shared" si="20"/>
        <v>2.1981696185243127</v>
      </c>
      <c r="O60" s="67">
        <f t="shared" si="20"/>
        <v>2.1568506407325025</v>
      </c>
      <c r="P60" s="67">
        <f t="shared" si="20"/>
        <v>2.129993305167826</v>
      </c>
      <c r="Q60" s="67">
        <f t="shared" si="20"/>
        <v>2.1093338162719206</v>
      </c>
      <c r="R60" s="67">
        <f t="shared" si="20"/>
        <v>2.0886743273760153</v>
      </c>
    </row>
    <row r="61" spans="1:18" ht="15">
      <c r="A61" s="9" t="s">
        <v>43</v>
      </c>
      <c r="B61" s="68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1:18" ht="15">
      <c r="A62" s="9">
        <v>10567</v>
      </c>
      <c r="B62" s="71" t="s">
        <v>55</v>
      </c>
      <c r="C62" s="35">
        <v>2.68</v>
      </c>
      <c r="D62" s="35">
        <v>2.64</v>
      </c>
      <c r="E62" s="35">
        <v>2.59</v>
      </c>
      <c r="F62" s="35">
        <v>2.55</v>
      </c>
      <c r="G62" s="35">
        <v>2.51</v>
      </c>
      <c r="H62" s="35">
        <v>2.48</v>
      </c>
      <c r="I62" s="35">
        <v>2.44</v>
      </c>
      <c r="J62" s="35">
        <v>2.4</v>
      </c>
      <c r="K62" s="35">
        <v>2.36</v>
      </c>
      <c r="L62" s="35">
        <v>2.33</v>
      </c>
      <c r="M62" s="35">
        <v>2.29</v>
      </c>
      <c r="N62" s="35">
        <v>2.26</v>
      </c>
      <c r="O62" s="35">
        <v>2.22</v>
      </c>
      <c r="P62" s="35">
        <v>2.19</v>
      </c>
      <c r="Q62" s="35">
        <v>2.16</v>
      </c>
      <c r="R62" s="35">
        <v>2.13</v>
      </c>
    </row>
    <row r="63" spans="1:18" ht="17.25">
      <c r="A63" s="9" t="s">
        <v>13</v>
      </c>
      <c r="B63" s="71"/>
      <c r="C63" s="35">
        <f>C60-C62</f>
        <v>-0.027321625765773128</v>
      </c>
      <c r="D63" s="35">
        <f aca="true" t="shared" si="21" ref="D63:R63">D60-D62</f>
        <v>-0.028640603557583244</v>
      </c>
      <c r="E63" s="35">
        <f t="shared" si="21"/>
        <v>-0.019959581349393574</v>
      </c>
      <c r="F63" s="35">
        <f t="shared" si="21"/>
        <v>-0.021278559141204134</v>
      </c>
      <c r="G63" s="35">
        <f t="shared" si="21"/>
        <v>-0.02259753693301425</v>
      </c>
      <c r="H63" s="35">
        <f t="shared" si="21"/>
        <v>-0.0339165147248246</v>
      </c>
      <c r="I63" s="35">
        <f t="shared" si="21"/>
        <v>-0.03523549251663516</v>
      </c>
      <c r="J63" s="35">
        <f t="shared" si="21"/>
        <v>-0.036554470308445275</v>
      </c>
      <c r="K63" s="35">
        <f t="shared" si="21"/>
        <v>-0.037873448100255835</v>
      </c>
      <c r="L63" s="35">
        <f t="shared" si="21"/>
        <v>-0.04919242589206663</v>
      </c>
      <c r="M63" s="35">
        <f t="shared" si="21"/>
        <v>-0.05051140368387674</v>
      </c>
      <c r="N63" s="35">
        <f t="shared" si="21"/>
        <v>-0.06183038147568709</v>
      </c>
      <c r="O63" s="35">
        <f t="shared" si="21"/>
        <v>-0.06314935926749765</v>
      </c>
      <c r="P63" s="35">
        <f t="shared" si="21"/>
        <v>-0.06000669483217402</v>
      </c>
      <c r="Q63" s="35">
        <f t="shared" si="21"/>
        <v>-0.05066618372807952</v>
      </c>
      <c r="R63" s="35">
        <f t="shared" si="21"/>
        <v>-0.041325672623984566</v>
      </c>
    </row>
    <row r="64" spans="1:18" ht="15">
      <c r="A64" s="9" t="s">
        <v>44</v>
      </c>
      <c r="B64" s="11" t="s">
        <v>31</v>
      </c>
      <c r="C64" s="34">
        <f>C$39*1000/$A65</f>
        <v>57.80346820809248</v>
      </c>
      <c r="D64" s="34">
        <f aca="true" t="shared" si="22" ref="D64:R64">D$39*1000/$A65</f>
        <v>69.36416184971098</v>
      </c>
      <c r="E64" s="34">
        <f t="shared" si="22"/>
        <v>80.92485549132948</v>
      </c>
      <c r="F64" s="34">
        <f t="shared" si="22"/>
        <v>92.48554913294798</v>
      </c>
      <c r="G64" s="34">
        <f t="shared" si="22"/>
        <v>104.04624277456648</v>
      </c>
      <c r="H64" s="34">
        <f t="shared" si="22"/>
        <v>115.60693641618496</v>
      </c>
      <c r="I64" s="34">
        <f t="shared" si="22"/>
        <v>127.16763005780346</v>
      </c>
      <c r="J64" s="34">
        <f t="shared" si="22"/>
        <v>138.72832369942196</v>
      </c>
      <c r="K64" s="34">
        <f t="shared" si="22"/>
        <v>150.28901734104045</v>
      </c>
      <c r="L64" s="34">
        <f t="shared" si="22"/>
        <v>161.84971098265896</v>
      </c>
      <c r="M64" s="34">
        <f t="shared" si="22"/>
        <v>173.41040462427745</v>
      </c>
      <c r="N64" s="34">
        <f t="shared" si="22"/>
        <v>184.97109826589596</v>
      </c>
      <c r="O64" s="34">
        <f t="shared" si="22"/>
        <v>196.53179190751445</v>
      </c>
      <c r="P64" s="34">
        <f t="shared" si="22"/>
        <v>208.09248554913296</v>
      </c>
      <c r="Q64" s="34">
        <f t="shared" si="22"/>
        <v>219.65317919075144</v>
      </c>
      <c r="R64" s="34">
        <f t="shared" si="22"/>
        <v>231.21387283236993</v>
      </c>
    </row>
    <row r="65" spans="1:18" ht="18">
      <c r="A65" s="9">
        <v>86.5</v>
      </c>
      <c r="B65" s="11" t="s">
        <v>30</v>
      </c>
      <c r="C65" s="35">
        <f>IF(C64&gt;=50,IF(C64&lt;=200,$C$32*(C64-$B$26)+1,$C$34*(C64-$H$26)+0.8),1)</f>
        <v>0.9895953757225434</v>
      </c>
      <c r="D65" s="35">
        <f>IF(D64&gt;=50,IF(D64&lt;=200,$C$32*(D64-$B$26)+1,$C$34*(D64-$H$26)+0.8),1)</f>
        <v>0.9741811175337187</v>
      </c>
      <c r="E65" s="35">
        <f>IF(E64&gt;=50,IF(E64&lt;=200,$C$32*(E64-$B$26)+1,$C$34*(E64-$H$26)+0.8),1)</f>
        <v>0.958766859344894</v>
      </c>
      <c r="F65" s="35">
        <f>IF(F64&gt;=50,IF(F64&lt;=200,$C$32*(F64-$B$26)+1,$C$34*(F64-$H$26)+0.8),1)</f>
        <v>0.9433526011560693</v>
      </c>
      <c r="G65" s="35">
        <f>IF(G64&gt;=50,IF(G64&lt;=200,$C$32*(G64-$B$26)+1,$C$34*(G64-$H$26)+0.8),1)</f>
        <v>0.9279383429672448</v>
      </c>
      <c r="H65" s="35">
        <f>IF(H64&gt;=50,IF(H64&lt;=200,$C$32*(H64-$B$26)+1,$C$34*(H64-$H$26)+0.8),1)</f>
        <v>0.9125240847784201</v>
      </c>
      <c r="I65" s="35">
        <f>IF(I64&gt;=50,IF(I64&lt;=200,$C$32*(I64-$B$26)+1,$C$34*(I64-$H$26)+0.8),1)</f>
        <v>0.8971098265895954</v>
      </c>
      <c r="J65" s="35">
        <f>IF(J64&gt;=50,IF(J64&lt;=200,$C$32*(J64-$B$26)+1,$C$34*(J64-$H$26)+0.8),1)</f>
        <v>0.8816955684007708</v>
      </c>
      <c r="K65" s="35">
        <f>IF(K64&gt;=50,IF(K64&lt;=200,$C$32*(K64-$B$26)+1,$C$34*(K64-$H$26)+0.8),1)</f>
        <v>0.8662813102119461</v>
      </c>
      <c r="L65" s="35">
        <f>IF(L64&gt;=50,IF(L64&lt;=200,$C$32*(L64-$B$26)+1,$C$34*(L64-$H$26)+0.8),1)</f>
        <v>0.8508670520231214</v>
      </c>
      <c r="M65" s="35">
        <f>IF(M64&gt;=50,IF(M64&lt;=200,$C$32*(M64-$B$26)+1,$C$34*(M64-$H$26)+0.8),1)</f>
        <v>0.8354527938342968</v>
      </c>
      <c r="N65" s="35">
        <f>IF(N64&gt;=50,IF(N64&lt;=200,$C$32*(N64-$B$26)+1,$C$34*(N64-$H$26)+0.8),1)</f>
        <v>0.820038535645472</v>
      </c>
      <c r="O65" s="35">
        <f>IF(O64&gt;=50,IF(O64&lt;=200,$C$32*(O64-$B$26)+1,$C$34*(O64-$H$26)+0.8),1)</f>
        <v>0.8046242774566474</v>
      </c>
      <c r="P65" s="35">
        <f>IF(P64&gt;=50,IF(P64&lt;=200,$C$32*(P64-$B$26)+1,$C$34*(P64-$H$26)+0.8),1)</f>
        <v>0.7946050096339115</v>
      </c>
      <c r="Q65" s="35">
        <f>IF(Q64&gt;=50,IF(Q64&lt;=200,$C$32*(Q64-$B$26)+1,$C$34*(Q64-$H$26)+0.8),1)</f>
        <v>0.786897880539499</v>
      </c>
      <c r="R65" s="35">
        <f>IF(R64&gt;=50,IF(R64&lt;=200,$C$32*(R64-$B$26)+1,$C$34*(R64-$H$26)+0.8),1)</f>
        <v>0.7791907514450868</v>
      </c>
    </row>
    <row r="66" spans="1:18" ht="15">
      <c r="A66" s="9"/>
      <c r="B66" s="9">
        <v>250</v>
      </c>
      <c r="C66" s="12">
        <f>ROUNDUP(C60*100^2/$B66,0)</f>
        <v>107</v>
      </c>
      <c r="D66" s="12">
        <f aca="true" t="shared" si="23" ref="D66:R66">ROUNDUP(D60*100^2/$B66,0)</f>
        <v>105</v>
      </c>
      <c r="E66" s="12">
        <f t="shared" si="23"/>
        <v>103</v>
      </c>
      <c r="F66" s="12">
        <f t="shared" si="23"/>
        <v>102</v>
      </c>
      <c r="G66" s="12">
        <f t="shared" si="23"/>
        <v>100</v>
      </c>
      <c r="H66" s="12">
        <f t="shared" si="23"/>
        <v>98</v>
      </c>
      <c r="I66" s="12">
        <f t="shared" si="23"/>
        <v>97</v>
      </c>
      <c r="J66" s="12">
        <f t="shared" si="23"/>
        <v>95</v>
      </c>
      <c r="K66" s="12">
        <f t="shared" si="23"/>
        <v>93</v>
      </c>
      <c r="L66" s="12">
        <f t="shared" si="23"/>
        <v>92</v>
      </c>
      <c r="M66" s="12">
        <f t="shared" si="23"/>
        <v>90</v>
      </c>
      <c r="N66" s="12">
        <f t="shared" si="23"/>
        <v>88</v>
      </c>
      <c r="O66" s="12">
        <f t="shared" si="23"/>
        <v>87</v>
      </c>
      <c r="P66" s="12">
        <f t="shared" si="23"/>
        <v>86</v>
      </c>
      <c r="Q66" s="12">
        <f t="shared" si="23"/>
        <v>85</v>
      </c>
      <c r="R66" s="12">
        <f t="shared" si="23"/>
        <v>84</v>
      </c>
    </row>
    <row r="67" spans="1:18" ht="15">
      <c r="A67" s="9"/>
      <c r="B67" s="9">
        <v>300</v>
      </c>
      <c r="C67" s="12">
        <f>ROUNDUP(C60*100^2/$B67,0)</f>
        <v>89</v>
      </c>
      <c r="D67" s="12">
        <f aca="true" t="shared" si="24" ref="D67:R67">ROUNDUP(D60*100^2/$B67,0)</f>
        <v>88</v>
      </c>
      <c r="E67" s="12">
        <f t="shared" si="24"/>
        <v>86</v>
      </c>
      <c r="F67" s="12">
        <f t="shared" si="24"/>
        <v>85</v>
      </c>
      <c r="G67" s="12">
        <f t="shared" si="24"/>
        <v>83</v>
      </c>
      <c r="H67" s="12">
        <f t="shared" si="24"/>
        <v>82</v>
      </c>
      <c r="I67" s="12">
        <f t="shared" si="24"/>
        <v>81</v>
      </c>
      <c r="J67" s="12">
        <f t="shared" si="24"/>
        <v>79</v>
      </c>
      <c r="K67" s="12">
        <f t="shared" si="24"/>
        <v>78</v>
      </c>
      <c r="L67" s="12">
        <f t="shared" si="24"/>
        <v>77</v>
      </c>
      <c r="M67" s="12">
        <f t="shared" si="24"/>
        <v>75</v>
      </c>
      <c r="N67" s="12">
        <f t="shared" si="24"/>
        <v>74</v>
      </c>
      <c r="O67" s="12">
        <f t="shared" si="24"/>
        <v>72</v>
      </c>
      <c r="P67" s="12">
        <f t="shared" si="24"/>
        <v>71</v>
      </c>
      <c r="Q67" s="12">
        <f t="shared" si="24"/>
        <v>71</v>
      </c>
      <c r="R67" s="12">
        <f t="shared" si="24"/>
        <v>70</v>
      </c>
    </row>
    <row r="68" spans="1:18" ht="15">
      <c r="A68" s="9"/>
      <c r="B68" s="9">
        <v>350</v>
      </c>
      <c r="C68" s="12">
        <f>ROUNDUP(C60*100^2/$B68,0)</f>
        <v>76</v>
      </c>
      <c r="D68" s="12">
        <f aca="true" t="shared" si="25" ref="D68:R68">ROUNDUP(D60*100^2/$B68,0)</f>
        <v>75</v>
      </c>
      <c r="E68" s="12">
        <f t="shared" si="25"/>
        <v>74</v>
      </c>
      <c r="F68" s="12">
        <f t="shared" si="25"/>
        <v>73</v>
      </c>
      <c r="G68" s="12">
        <f t="shared" si="25"/>
        <v>72</v>
      </c>
      <c r="H68" s="12">
        <f t="shared" si="25"/>
        <v>70</v>
      </c>
      <c r="I68" s="12">
        <f t="shared" si="25"/>
        <v>69</v>
      </c>
      <c r="J68" s="12">
        <f t="shared" si="25"/>
        <v>68</v>
      </c>
      <c r="K68" s="12">
        <f t="shared" si="25"/>
        <v>67</v>
      </c>
      <c r="L68" s="12">
        <f t="shared" si="25"/>
        <v>66</v>
      </c>
      <c r="M68" s="12">
        <f t="shared" si="25"/>
        <v>64</v>
      </c>
      <c r="N68" s="12">
        <f t="shared" si="25"/>
        <v>63</v>
      </c>
      <c r="O68" s="12">
        <f t="shared" si="25"/>
        <v>62</v>
      </c>
      <c r="P68" s="12">
        <f t="shared" si="25"/>
        <v>61</v>
      </c>
      <c r="Q68" s="12">
        <f t="shared" si="25"/>
        <v>61</v>
      </c>
      <c r="R68" s="12">
        <f t="shared" si="25"/>
        <v>60</v>
      </c>
    </row>
    <row r="69" spans="1:18" ht="15">
      <c r="A69" s="13"/>
      <c r="B69" s="13">
        <v>400</v>
      </c>
      <c r="C69" s="14">
        <f>ROUNDUP(C60*100^2/$B69,0)</f>
        <v>67</v>
      </c>
      <c r="D69" s="14">
        <f aca="true" t="shared" si="26" ref="D69:R69">ROUNDUP(D60*100^2/$B69,0)</f>
        <v>66</v>
      </c>
      <c r="E69" s="14">
        <f t="shared" si="26"/>
        <v>65</v>
      </c>
      <c r="F69" s="14">
        <f t="shared" si="26"/>
        <v>64</v>
      </c>
      <c r="G69" s="14">
        <f t="shared" si="26"/>
        <v>63</v>
      </c>
      <c r="H69" s="14">
        <f t="shared" si="26"/>
        <v>62</v>
      </c>
      <c r="I69" s="14">
        <f t="shared" si="26"/>
        <v>61</v>
      </c>
      <c r="J69" s="14">
        <f t="shared" si="26"/>
        <v>60</v>
      </c>
      <c r="K69" s="14">
        <f t="shared" si="26"/>
        <v>59</v>
      </c>
      <c r="L69" s="14">
        <f t="shared" si="26"/>
        <v>58</v>
      </c>
      <c r="M69" s="14">
        <f t="shared" si="26"/>
        <v>56</v>
      </c>
      <c r="N69" s="14">
        <f t="shared" si="26"/>
        <v>55</v>
      </c>
      <c r="O69" s="14">
        <f t="shared" si="26"/>
        <v>54</v>
      </c>
      <c r="P69" s="14">
        <f t="shared" si="26"/>
        <v>54</v>
      </c>
      <c r="Q69" s="14">
        <f t="shared" si="26"/>
        <v>53</v>
      </c>
      <c r="R69" s="14">
        <f t="shared" si="26"/>
        <v>53</v>
      </c>
    </row>
    <row r="70" spans="1:18" ht="15" customHeight="1">
      <c r="A70" s="37" t="s">
        <v>53</v>
      </c>
      <c r="B70" s="68" t="s">
        <v>42</v>
      </c>
      <c r="C70" s="67">
        <f>0.9*2.78*10^-5*$A72^1.25*C75</f>
        <v>4.678883541379132</v>
      </c>
      <c r="D70" s="67">
        <f aca="true" t="shared" si="27" ref="D70:R70">0.9*2.78*10^-5*$A72^1.25*D75</f>
        <v>4.64098604229008</v>
      </c>
      <c r="E70" s="67">
        <f t="shared" si="27"/>
        <v>4.582682197537691</v>
      </c>
      <c r="F70" s="67">
        <f t="shared" si="27"/>
        <v>4.524378352785304</v>
      </c>
      <c r="G70" s="67">
        <f t="shared" si="27"/>
        <v>4.466074508032915</v>
      </c>
      <c r="H70" s="67">
        <f t="shared" si="27"/>
        <v>4.407770663280528</v>
      </c>
      <c r="I70" s="67">
        <f t="shared" si="27"/>
        <v>4.34946681852814</v>
      </c>
      <c r="J70" s="67">
        <f t="shared" si="27"/>
        <v>4.2911629737757515</v>
      </c>
      <c r="K70" s="67">
        <f t="shared" si="27"/>
        <v>4.232859129023364</v>
      </c>
      <c r="L70" s="67">
        <f t="shared" si="27"/>
        <v>4.174555284270975</v>
      </c>
      <c r="M70" s="67">
        <f t="shared" si="27"/>
        <v>4.116251439518589</v>
      </c>
      <c r="N70" s="67">
        <f t="shared" si="27"/>
        <v>4.0579475947662</v>
      </c>
      <c r="O70" s="67">
        <f t="shared" si="27"/>
        <v>3.9996437500138122</v>
      </c>
      <c r="P70" s="67">
        <f t="shared" si="27"/>
        <v>3.9413399052614246</v>
      </c>
      <c r="Q70" s="67">
        <f t="shared" si="27"/>
        <v>3.8830360605090366</v>
      </c>
      <c r="R70" s="67">
        <f t="shared" si="27"/>
        <v>3.824732215756648</v>
      </c>
    </row>
    <row r="71" spans="1:18" ht="15">
      <c r="A71" s="9" t="s">
        <v>43</v>
      </c>
      <c r="B71" s="68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1:18" ht="15">
      <c r="A72" s="9">
        <v>16500</v>
      </c>
      <c r="B72" s="71" t="s">
        <v>55</v>
      </c>
      <c r="C72" s="35">
        <v>4.71</v>
      </c>
      <c r="D72" s="35">
        <v>4.63</v>
      </c>
      <c r="E72" s="35">
        <v>4.57</v>
      </c>
      <c r="F72" s="35">
        <v>4.51</v>
      </c>
      <c r="G72" s="35">
        <v>4.46</v>
      </c>
      <c r="H72" s="35">
        <v>4.4</v>
      </c>
      <c r="I72" s="35">
        <v>4.35</v>
      </c>
      <c r="J72" s="35">
        <v>4.29</v>
      </c>
      <c r="K72" s="35">
        <v>4.24</v>
      </c>
      <c r="L72" s="35">
        <v>4.18</v>
      </c>
      <c r="M72" s="35">
        <v>4.13</v>
      </c>
      <c r="N72" s="35">
        <v>4.08</v>
      </c>
      <c r="O72" s="35">
        <v>4.03</v>
      </c>
      <c r="P72" s="35">
        <v>3.98</v>
      </c>
      <c r="Q72" s="35">
        <v>3.93</v>
      </c>
      <c r="R72" s="35">
        <v>3.89</v>
      </c>
    </row>
    <row r="73" spans="1:18" ht="17.25">
      <c r="A73" s="9" t="s">
        <v>13</v>
      </c>
      <c r="B73" s="71"/>
      <c r="C73" s="35">
        <f>C70-C72</f>
        <v>-0.031116458620868315</v>
      </c>
      <c r="D73" s="35">
        <f aca="true" t="shared" si="28" ref="D73:R73">D70-D72</f>
        <v>0.010986042290079823</v>
      </c>
      <c r="E73" s="35">
        <f t="shared" si="28"/>
        <v>0.012682197537690953</v>
      </c>
      <c r="F73" s="35">
        <f t="shared" si="28"/>
        <v>0.01437835278530386</v>
      </c>
      <c r="G73" s="35">
        <f t="shared" si="28"/>
        <v>0.006074508032915205</v>
      </c>
      <c r="H73" s="35">
        <f t="shared" si="28"/>
        <v>0.0077706632805272235</v>
      </c>
      <c r="I73" s="35">
        <f t="shared" si="28"/>
        <v>-0.0005331814718596561</v>
      </c>
      <c r="J73" s="35">
        <f t="shared" si="28"/>
        <v>0.0011629737757514746</v>
      </c>
      <c r="K73" s="35">
        <f t="shared" si="28"/>
        <v>-0.007140870976636293</v>
      </c>
      <c r="L73" s="35">
        <f t="shared" si="28"/>
        <v>-0.005444715729024274</v>
      </c>
      <c r="M73" s="35">
        <f t="shared" si="28"/>
        <v>-0.013748560481411154</v>
      </c>
      <c r="N73" s="35">
        <f t="shared" si="28"/>
        <v>-0.02205240523379981</v>
      </c>
      <c r="O73" s="35">
        <f t="shared" si="28"/>
        <v>-0.030356249986188022</v>
      </c>
      <c r="P73" s="35">
        <f t="shared" si="28"/>
        <v>-0.038660094738575346</v>
      </c>
      <c r="Q73" s="35">
        <f t="shared" si="28"/>
        <v>-0.04696393949096356</v>
      </c>
      <c r="R73" s="35">
        <f t="shared" si="28"/>
        <v>-0.065267784243352</v>
      </c>
    </row>
    <row r="74" spans="1:18" ht="15">
      <c r="A74" s="9" t="s">
        <v>44</v>
      </c>
      <c r="B74" s="11" t="s">
        <v>31</v>
      </c>
      <c r="C74" s="34">
        <f>C$39*1000/$A75</f>
        <v>46.728971962616825</v>
      </c>
      <c r="D74" s="34">
        <f aca="true" t="shared" si="29" ref="D74:R74">D$39*1000/$A75</f>
        <v>56.074766355140184</v>
      </c>
      <c r="E74" s="34">
        <f t="shared" si="29"/>
        <v>65.42056074766356</v>
      </c>
      <c r="F74" s="34">
        <f t="shared" si="29"/>
        <v>74.76635514018692</v>
      </c>
      <c r="G74" s="34">
        <f t="shared" si="29"/>
        <v>84.11214953271028</v>
      </c>
      <c r="H74" s="34">
        <f t="shared" si="29"/>
        <v>93.45794392523365</v>
      </c>
      <c r="I74" s="34">
        <f t="shared" si="29"/>
        <v>102.80373831775701</v>
      </c>
      <c r="J74" s="34">
        <f t="shared" si="29"/>
        <v>112.14953271028037</v>
      </c>
      <c r="K74" s="34">
        <f t="shared" si="29"/>
        <v>121.49532710280374</v>
      </c>
      <c r="L74" s="34">
        <f t="shared" si="29"/>
        <v>130.84112149532712</v>
      </c>
      <c r="M74" s="34">
        <f t="shared" si="29"/>
        <v>140.18691588785046</v>
      </c>
      <c r="N74" s="34">
        <f t="shared" si="29"/>
        <v>149.53271028037383</v>
      </c>
      <c r="O74" s="34">
        <f t="shared" si="29"/>
        <v>158.8785046728972</v>
      </c>
      <c r="P74" s="34">
        <f t="shared" si="29"/>
        <v>168.22429906542055</v>
      </c>
      <c r="Q74" s="34">
        <f t="shared" si="29"/>
        <v>177.57009345794393</v>
      </c>
      <c r="R74" s="34">
        <f t="shared" si="29"/>
        <v>186.9158878504673</v>
      </c>
    </row>
    <row r="75" spans="1:18" ht="18">
      <c r="A75" s="9">
        <v>107</v>
      </c>
      <c r="B75" s="11" t="s">
        <v>30</v>
      </c>
      <c r="C75" s="35">
        <f>IF(C74&gt;=50,IF(C74&lt;=200,$C$32*(C74-$B$26)+1,$C$34*(C74-$H$26)+0.8),1)</f>
        <v>1</v>
      </c>
      <c r="D75" s="35">
        <f>IF(D74&gt;=50,IF(D74&lt;=200,$C$32*(D74-$B$26)+1,$C$34*(D74-$H$26)+0.8),1)</f>
        <v>0.9919003115264797</v>
      </c>
      <c r="E75" s="35">
        <f>IF(E74&gt;=50,IF(E74&lt;=200,$C$32*(E74-$B$26)+1,$C$34*(E74-$H$26)+0.8),1)</f>
        <v>0.9794392523364486</v>
      </c>
      <c r="F75" s="35">
        <f>IF(F74&gt;=50,IF(F74&lt;=200,$C$32*(F74-$B$26)+1,$C$34*(F74-$H$26)+0.8),1)</f>
        <v>0.9669781931464174</v>
      </c>
      <c r="G75" s="35">
        <f>IF(G74&gt;=50,IF(G74&lt;=200,$C$32*(G74-$B$26)+1,$C$34*(G74-$H$26)+0.8),1)</f>
        <v>0.9545171339563863</v>
      </c>
      <c r="H75" s="35">
        <f>IF(H74&gt;=50,IF(H74&lt;=200,$C$32*(H74-$B$26)+1,$C$34*(H74-$H$26)+0.8),1)</f>
        <v>0.9420560747663551</v>
      </c>
      <c r="I75" s="35">
        <f>IF(I74&gt;=50,IF(I74&lt;=200,$C$32*(I74-$B$26)+1,$C$34*(I74-$H$26)+0.8),1)</f>
        <v>0.929595015576324</v>
      </c>
      <c r="J75" s="35">
        <f>IF(J74&gt;=50,IF(J74&lt;=200,$C$32*(J74-$B$26)+1,$C$34*(J74-$H$26)+0.8),1)</f>
        <v>0.9171339563862928</v>
      </c>
      <c r="K75" s="35">
        <f>IF(K74&gt;=50,IF(K74&lt;=200,$C$32*(K74-$B$26)+1,$C$34*(K74-$H$26)+0.8),1)</f>
        <v>0.9046728971962616</v>
      </c>
      <c r="L75" s="35">
        <f>IF(L74&gt;=50,IF(L74&lt;=200,$C$32*(L74-$B$26)+1,$C$34*(L74-$H$26)+0.8),1)</f>
        <v>0.8922118380062305</v>
      </c>
      <c r="M75" s="35">
        <f>IF(M74&gt;=50,IF(M74&lt;=200,$C$32*(M74-$B$26)+1,$C$34*(M74-$H$26)+0.8),1)</f>
        <v>0.8797507788161995</v>
      </c>
      <c r="N75" s="35">
        <f>IF(N74&gt;=50,IF(N74&lt;=200,$C$32*(N74-$B$26)+1,$C$34*(N74-$H$26)+0.8),1)</f>
        <v>0.8672897196261682</v>
      </c>
      <c r="O75" s="35">
        <f>IF(O74&gt;=50,IF(O74&lt;=200,$C$32*(O74-$B$26)+1,$C$34*(O74-$H$26)+0.8),1)</f>
        <v>0.854828660436137</v>
      </c>
      <c r="P75" s="35">
        <f>IF(P74&gt;=50,IF(P74&lt;=200,$C$32*(P74-$B$26)+1,$C$34*(P74-$H$26)+0.8),1)</f>
        <v>0.842367601246106</v>
      </c>
      <c r="Q75" s="35">
        <f>IF(Q74&gt;=50,IF(Q74&lt;=200,$C$32*(Q74-$B$26)+1,$C$34*(Q74-$H$26)+0.8),1)</f>
        <v>0.8299065420560748</v>
      </c>
      <c r="R75" s="35">
        <f>IF(R74&gt;=50,IF(R74&lt;=200,$C$32*(R74-$B$26)+1,$C$34*(R74-$H$26)+0.8),1)</f>
        <v>0.8174454828660436</v>
      </c>
    </row>
    <row r="76" spans="1:18" ht="15">
      <c r="A76" s="9" t="s">
        <v>3</v>
      </c>
      <c r="B76" s="9">
        <v>250</v>
      </c>
      <c r="C76" s="12">
        <f>ROUNDUP(C70*100^2/$B76,0)</f>
        <v>188</v>
      </c>
      <c r="D76" s="12">
        <f aca="true" t="shared" si="30" ref="D76:R76">ROUNDUP(D70*100^2/$B76,0)</f>
        <v>186</v>
      </c>
      <c r="E76" s="12">
        <f t="shared" si="30"/>
        <v>184</v>
      </c>
      <c r="F76" s="12">
        <f t="shared" si="30"/>
        <v>181</v>
      </c>
      <c r="G76" s="12">
        <f t="shared" si="30"/>
        <v>179</v>
      </c>
      <c r="H76" s="12">
        <f t="shared" si="30"/>
        <v>177</v>
      </c>
      <c r="I76" s="12">
        <f t="shared" si="30"/>
        <v>174</v>
      </c>
      <c r="J76" s="12">
        <f t="shared" si="30"/>
        <v>172</v>
      </c>
      <c r="K76" s="12">
        <f t="shared" si="30"/>
        <v>170</v>
      </c>
      <c r="L76" s="12">
        <f t="shared" si="30"/>
        <v>167</v>
      </c>
      <c r="M76" s="12">
        <f t="shared" si="30"/>
        <v>165</v>
      </c>
      <c r="N76" s="12">
        <f t="shared" si="30"/>
        <v>163</v>
      </c>
      <c r="O76" s="12">
        <f t="shared" si="30"/>
        <v>160</v>
      </c>
      <c r="P76" s="12">
        <f t="shared" si="30"/>
        <v>158</v>
      </c>
      <c r="Q76" s="12">
        <f t="shared" si="30"/>
        <v>156</v>
      </c>
      <c r="R76" s="12">
        <f t="shared" si="30"/>
        <v>153</v>
      </c>
    </row>
    <row r="77" spans="1:18" ht="15">
      <c r="A77" s="9"/>
      <c r="B77" s="9">
        <v>300</v>
      </c>
      <c r="C77" s="12">
        <f>ROUNDUP(C70*100^2/$B77,0)</f>
        <v>156</v>
      </c>
      <c r="D77" s="12">
        <f aca="true" t="shared" si="31" ref="D77:R77">ROUNDUP(D70*100^2/$B77,0)</f>
        <v>155</v>
      </c>
      <c r="E77" s="12">
        <f t="shared" si="31"/>
        <v>153</v>
      </c>
      <c r="F77" s="12">
        <f t="shared" si="31"/>
        <v>151</v>
      </c>
      <c r="G77" s="12">
        <f t="shared" si="31"/>
        <v>149</v>
      </c>
      <c r="H77" s="12">
        <f t="shared" si="31"/>
        <v>147</v>
      </c>
      <c r="I77" s="12">
        <f t="shared" si="31"/>
        <v>145</v>
      </c>
      <c r="J77" s="12">
        <f t="shared" si="31"/>
        <v>144</v>
      </c>
      <c r="K77" s="12">
        <f t="shared" si="31"/>
        <v>142</v>
      </c>
      <c r="L77" s="12">
        <f t="shared" si="31"/>
        <v>140</v>
      </c>
      <c r="M77" s="12">
        <f t="shared" si="31"/>
        <v>138</v>
      </c>
      <c r="N77" s="12">
        <f t="shared" si="31"/>
        <v>136</v>
      </c>
      <c r="O77" s="12">
        <f t="shared" si="31"/>
        <v>134</v>
      </c>
      <c r="P77" s="12">
        <f t="shared" si="31"/>
        <v>132</v>
      </c>
      <c r="Q77" s="12">
        <f t="shared" si="31"/>
        <v>130</v>
      </c>
      <c r="R77" s="12">
        <f t="shared" si="31"/>
        <v>128</v>
      </c>
    </row>
    <row r="78" spans="1:18" ht="15">
      <c r="A78" s="9"/>
      <c r="B78" s="9">
        <v>350</v>
      </c>
      <c r="C78" s="12">
        <f>ROUNDUP(C70*100^2/$B78,0)</f>
        <v>134</v>
      </c>
      <c r="D78" s="12">
        <f aca="true" t="shared" si="32" ref="D78:R78">ROUNDUP(D70*100^2/$B78,0)</f>
        <v>133</v>
      </c>
      <c r="E78" s="12">
        <f t="shared" si="32"/>
        <v>131</v>
      </c>
      <c r="F78" s="12">
        <f t="shared" si="32"/>
        <v>130</v>
      </c>
      <c r="G78" s="12">
        <f t="shared" si="32"/>
        <v>128</v>
      </c>
      <c r="H78" s="12">
        <f t="shared" si="32"/>
        <v>126</v>
      </c>
      <c r="I78" s="12">
        <f t="shared" si="32"/>
        <v>125</v>
      </c>
      <c r="J78" s="12">
        <f t="shared" si="32"/>
        <v>123</v>
      </c>
      <c r="K78" s="12">
        <f t="shared" si="32"/>
        <v>121</v>
      </c>
      <c r="L78" s="12">
        <f t="shared" si="32"/>
        <v>120</v>
      </c>
      <c r="M78" s="12">
        <f t="shared" si="32"/>
        <v>118</v>
      </c>
      <c r="N78" s="12">
        <f t="shared" si="32"/>
        <v>116</v>
      </c>
      <c r="O78" s="12">
        <f t="shared" si="32"/>
        <v>115</v>
      </c>
      <c r="P78" s="12">
        <f t="shared" si="32"/>
        <v>113</v>
      </c>
      <c r="Q78" s="12">
        <f t="shared" si="32"/>
        <v>111</v>
      </c>
      <c r="R78" s="12">
        <f t="shared" si="32"/>
        <v>110</v>
      </c>
    </row>
    <row r="79" spans="1:18" ht="15">
      <c r="A79" s="13"/>
      <c r="B79" s="13">
        <v>400</v>
      </c>
      <c r="C79" s="14">
        <f>ROUNDUP(C70*100^2/$B79,0)</f>
        <v>117</v>
      </c>
      <c r="D79" s="14">
        <f aca="true" t="shared" si="33" ref="D79:R79">ROUNDUP(D70*100^2/$B79,0)</f>
        <v>117</v>
      </c>
      <c r="E79" s="14">
        <f t="shared" si="33"/>
        <v>115</v>
      </c>
      <c r="F79" s="14">
        <f t="shared" si="33"/>
        <v>114</v>
      </c>
      <c r="G79" s="14">
        <f t="shared" si="33"/>
        <v>112</v>
      </c>
      <c r="H79" s="14">
        <f t="shared" si="33"/>
        <v>111</v>
      </c>
      <c r="I79" s="14">
        <f t="shared" si="33"/>
        <v>109</v>
      </c>
      <c r="J79" s="14">
        <f t="shared" si="33"/>
        <v>108</v>
      </c>
      <c r="K79" s="14">
        <f t="shared" si="33"/>
        <v>106</v>
      </c>
      <c r="L79" s="14">
        <f t="shared" si="33"/>
        <v>105</v>
      </c>
      <c r="M79" s="14">
        <f t="shared" si="33"/>
        <v>103</v>
      </c>
      <c r="N79" s="14">
        <f t="shared" si="33"/>
        <v>102</v>
      </c>
      <c r="O79" s="14">
        <f t="shared" si="33"/>
        <v>100</v>
      </c>
      <c r="P79" s="14">
        <f t="shared" si="33"/>
        <v>99</v>
      </c>
      <c r="Q79" s="14">
        <f t="shared" si="33"/>
        <v>98</v>
      </c>
      <c r="R79" s="14">
        <f t="shared" si="33"/>
        <v>96</v>
      </c>
    </row>
    <row r="80" spans="1:18" ht="15" customHeight="1">
      <c r="A80" s="37" t="s">
        <v>54</v>
      </c>
      <c r="B80" s="68" t="s">
        <v>42</v>
      </c>
      <c r="C80" s="67">
        <f aca="true" t="shared" si="34" ref="C80:R80">0.9*2.78*10^-5*$A82^1.25*C85</f>
        <v>8.661087566857704</v>
      </c>
      <c r="D80" s="67">
        <f t="shared" si="34"/>
        <v>8.661087566857704</v>
      </c>
      <c r="E80" s="67">
        <f t="shared" si="34"/>
        <v>8.644105042216808</v>
      </c>
      <c r="F80" s="67">
        <f t="shared" si="34"/>
        <v>8.55919241901232</v>
      </c>
      <c r="G80" s="67">
        <f t="shared" si="34"/>
        <v>8.474279795807831</v>
      </c>
      <c r="H80" s="67">
        <f t="shared" si="34"/>
        <v>8.389367172603345</v>
      </c>
      <c r="I80" s="67">
        <f t="shared" si="34"/>
        <v>8.304454549398859</v>
      </c>
      <c r="J80" s="67">
        <f t="shared" si="34"/>
        <v>8.21954192619437</v>
      </c>
      <c r="K80" s="67">
        <f t="shared" si="34"/>
        <v>8.134629302989882</v>
      </c>
      <c r="L80" s="67">
        <f t="shared" si="34"/>
        <v>8.049716679785396</v>
      </c>
      <c r="M80" s="67">
        <f t="shared" si="34"/>
        <v>7.964804056580909</v>
      </c>
      <c r="N80" s="67">
        <f t="shared" si="34"/>
        <v>7.879891433376421</v>
      </c>
      <c r="O80" s="67">
        <f t="shared" si="34"/>
        <v>7.7949788101719335</v>
      </c>
      <c r="P80" s="67">
        <f t="shared" si="34"/>
        <v>7.710066186967447</v>
      </c>
      <c r="Q80" s="67">
        <f t="shared" si="34"/>
        <v>7.625153563762959</v>
      </c>
      <c r="R80" s="67">
        <f t="shared" si="34"/>
        <v>7.540240940558472</v>
      </c>
    </row>
    <row r="81" spans="1:18" ht="15">
      <c r="A81" s="9" t="s">
        <v>43</v>
      </c>
      <c r="B81" s="68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1:18" ht="15">
      <c r="A82" s="9">
        <v>27004</v>
      </c>
      <c r="B82" s="71" t="s">
        <v>55</v>
      </c>
      <c r="C82" s="35">
        <v>8.78</v>
      </c>
      <c r="D82" s="35">
        <v>8.78</v>
      </c>
      <c r="E82" s="35">
        <v>8.68</v>
      </c>
      <c r="F82" s="35">
        <v>8.6</v>
      </c>
      <c r="G82" s="35">
        <v>8.51</v>
      </c>
      <c r="H82" s="35">
        <v>8.42</v>
      </c>
      <c r="I82" s="35">
        <v>8.34</v>
      </c>
      <c r="J82" s="35">
        <v>8.26</v>
      </c>
      <c r="K82" s="35">
        <v>8.18</v>
      </c>
      <c r="L82" s="35">
        <v>8.1</v>
      </c>
      <c r="M82" s="35">
        <v>8.02</v>
      </c>
      <c r="N82" s="35">
        <v>7.94</v>
      </c>
      <c r="O82" s="35">
        <v>7.86</v>
      </c>
      <c r="P82" s="35">
        <v>7.78</v>
      </c>
      <c r="Q82" s="35">
        <v>7.71</v>
      </c>
      <c r="R82" s="35">
        <v>7.63</v>
      </c>
    </row>
    <row r="83" spans="1:18" ht="17.25">
      <c r="A83" s="9" t="s">
        <v>13</v>
      </c>
      <c r="B83" s="71"/>
      <c r="C83" s="35">
        <f>C80-C82</f>
        <v>-0.11891243314229527</v>
      </c>
      <c r="D83" s="35">
        <f aca="true" t="shared" si="35" ref="D83:R83">D80-D82</f>
        <v>-0.11891243314229527</v>
      </c>
      <c r="E83" s="35">
        <f t="shared" si="35"/>
        <v>-0.03589495778319218</v>
      </c>
      <c r="F83" s="35">
        <f t="shared" si="35"/>
        <v>-0.040807580987680225</v>
      </c>
      <c r="G83" s="35">
        <f t="shared" si="35"/>
        <v>-0.03572020419216848</v>
      </c>
      <c r="H83" s="35">
        <f t="shared" si="35"/>
        <v>-0.03063282739665496</v>
      </c>
      <c r="I83" s="35">
        <f t="shared" si="35"/>
        <v>-0.035545450601141226</v>
      </c>
      <c r="J83" s="35">
        <f t="shared" si="35"/>
        <v>-0.04045807380562927</v>
      </c>
      <c r="K83" s="35">
        <f t="shared" si="35"/>
        <v>-0.04537069701011731</v>
      </c>
      <c r="L83" s="35">
        <f t="shared" si="35"/>
        <v>-0.05028332021460358</v>
      </c>
      <c r="M83" s="35">
        <f t="shared" si="35"/>
        <v>-0.05519594341909073</v>
      </c>
      <c r="N83" s="35">
        <f t="shared" si="35"/>
        <v>-0.06010856662357966</v>
      </c>
      <c r="O83" s="35">
        <f t="shared" si="35"/>
        <v>-0.06502118982806682</v>
      </c>
      <c r="P83" s="35">
        <f t="shared" si="35"/>
        <v>-0.06993381303255308</v>
      </c>
      <c r="Q83" s="35">
        <f t="shared" si="35"/>
        <v>-0.08484643623704091</v>
      </c>
      <c r="R83" s="35">
        <f t="shared" si="35"/>
        <v>-0.08975905944152807</v>
      </c>
    </row>
    <row r="84" spans="1:18" ht="15">
      <c r="A84" s="9" t="s">
        <v>44</v>
      </c>
      <c r="B84" s="11" t="s">
        <v>31</v>
      </c>
      <c r="C84" s="34">
        <f>C$39*1000/$A85</f>
        <v>36.76470588235294</v>
      </c>
      <c r="D84" s="34">
        <f aca="true" t="shared" si="36" ref="D84:R84">D$39*1000/$A85</f>
        <v>44.11764705882353</v>
      </c>
      <c r="E84" s="34">
        <f t="shared" si="36"/>
        <v>51.470588235294116</v>
      </c>
      <c r="F84" s="34">
        <f t="shared" si="36"/>
        <v>58.8235294117647</v>
      </c>
      <c r="G84" s="34">
        <f t="shared" si="36"/>
        <v>66.17647058823529</v>
      </c>
      <c r="H84" s="34">
        <f t="shared" si="36"/>
        <v>73.52941176470588</v>
      </c>
      <c r="I84" s="34">
        <f t="shared" si="36"/>
        <v>80.88235294117646</v>
      </c>
      <c r="J84" s="34">
        <f t="shared" si="36"/>
        <v>88.23529411764706</v>
      </c>
      <c r="K84" s="34">
        <f t="shared" si="36"/>
        <v>95.58823529411765</v>
      </c>
      <c r="L84" s="34">
        <f t="shared" si="36"/>
        <v>102.94117647058823</v>
      </c>
      <c r="M84" s="34">
        <f t="shared" si="36"/>
        <v>110.29411764705883</v>
      </c>
      <c r="N84" s="34">
        <f t="shared" si="36"/>
        <v>117.6470588235294</v>
      </c>
      <c r="O84" s="34">
        <f t="shared" si="36"/>
        <v>125</v>
      </c>
      <c r="P84" s="34">
        <f t="shared" si="36"/>
        <v>132.35294117647058</v>
      </c>
      <c r="Q84" s="34">
        <f t="shared" si="36"/>
        <v>139.7058823529412</v>
      </c>
      <c r="R84" s="34">
        <f t="shared" si="36"/>
        <v>147.05882352941177</v>
      </c>
    </row>
    <row r="85" spans="1:18" ht="18">
      <c r="A85" s="9">
        <v>136</v>
      </c>
      <c r="B85" s="11" t="s">
        <v>30</v>
      </c>
      <c r="C85" s="35">
        <f>IF(C84&gt;=50,IF(C84&lt;=200,$C$32*(C84-$B$26)+1,$C$34*(C84-$H$26)+0.8),1)</f>
        <v>1</v>
      </c>
      <c r="D85" s="35">
        <f>IF(D84&gt;=50,IF(D84&lt;=200,$C$32*(D84-$B$26)+1,$C$34*(D84-$H$26)+0.8),1)</f>
        <v>1</v>
      </c>
      <c r="E85" s="35">
        <f>IF(E84&gt;=50,IF(E84&lt;=200,$C$32*(E84-$B$26)+1,$C$34*(E84-$H$26)+0.8),1)</f>
        <v>0.9980392156862745</v>
      </c>
      <c r="F85" s="35">
        <f>IF(F84&gt;=50,IF(F84&lt;=200,$C$32*(F84-$B$26)+1,$C$34*(F84-$H$26)+0.8),1)</f>
        <v>0.9882352941176471</v>
      </c>
      <c r="G85" s="35">
        <f>IF(G84&gt;=50,IF(G84&lt;=200,$C$32*(G84-$B$26)+1,$C$34*(G84-$H$26)+0.8),1)</f>
        <v>0.9784313725490196</v>
      </c>
      <c r="H85" s="35">
        <f>IF(H84&gt;=50,IF(H84&lt;=200,$C$32*(H84-$B$26)+1,$C$34*(H84-$H$26)+0.8),1)</f>
        <v>0.9686274509803922</v>
      </c>
      <c r="I85" s="35">
        <f>IF(I84&gt;=50,IF(I84&lt;=200,$C$32*(I84-$B$26)+1,$C$34*(I84-$H$26)+0.8),1)</f>
        <v>0.9588235294117647</v>
      </c>
      <c r="J85" s="35">
        <f>IF(J84&gt;=50,IF(J84&lt;=200,$C$32*(J84-$B$26)+1,$C$34*(J84-$H$26)+0.8),1)</f>
        <v>0.9490196078431372</v>
      </c>
      <c r="K85" s="35">
        <f>IF(K84&gt;=50,IF(K84&lt;=200,$C$32*(K84-$B$26)+1,$C$34*(K84-$H$26)+0.8),1)</f>
        <v>0.9392156862745098</v>
      </c>
      <c r="L85" s="35">
        <f>IF(L84&gt;=50,IF(L84&lt;=200,$C$32*(L84-$B$26)+1,$C$34*(L84-$H$26)+0.8),1)</f>
        <v>0.9294117647058824</v>
      </c>
      <c r="M85" s="35">
        <f>IF(M84&gt;=50,IF(M84&lt;=200,$C$32*(M84-$B$26)+1,$C$34*(M84-$H$26)+0.8),1)</f>
        <v>0.919607843137255</v>
      </c>
      <c r="N85" s="35">
        <f>IF(N84&gt;=50,IF(N84&lt;=200,$C$32*(N84-$B$26)+1,$C$34*(N84-$H$26)+0.8),1)</f>
        <v>0.9098039215686274</v>
      </c>
      <c r="O85" s="35">
        <f>IF(O84&gt;=50,IF(O84&lt;=200,$C$32*(O84-$B$26)+1,$C$34*(O84-$H$26)+0.8),1)</f>
        <v>0.9</v>
      </c>
      <c r="P85" s="35">
        <f>IF(P84&gt;=50,IF(P84&lt;=200,$C$32*(P84-$B$26)+1,$C$34*(P84-$H$26)+0.8),1)</f>
        <v>0.8901960784313726</v>
      </c>
      <c r="Q85" s="35">
        <f>IF(Q84&gt;=50,IF(Q84&lt;=200,$C$32*(Q84-$B$26)+1,$C$34*(Q84-$H$26)+0.8),1)</f>
        <v>0.8803921568627451</v>
      </c>
      <c r="R85" s="35">
        <f>IF(R84&gt;=50,IF(R84&lt;=200,$C$32*(R84-$B$26)+1,$C$34*(R84-$H$26)+0.8),1)</f>
        <v>0.8705882352941177</v>
      </c>
    </row>
    <row r="86" spans="1:18" ht="15">
      <c r="A86" s="9" t="s">
        <v>3</v>
      </c>
      <c r="B86" s="9">
        <v>250</v>
      </c>
      <c r="C86" s="12">
        <f>ROUNDUP(C80*100^2/$B86,0)</f>
        <v>347</v>
      </c>
      <c r="D86" s="12">
        <f aca="true" t="shared" si="37" ref="D86:R86">ROUNDUP(D80*100^2/$B86,0)</f>
        <v>347</v>
      </c>
      <c r="E86" s="12">
        <f t="shared" si="37"/>
        <v>346</v>
      </c>
      <c r="F86" s="12">
        <f t="shared" si="37"/>
        <v>343</v>
      </c>
      <c r="G86" s="12">
        <f t="shared" si="37"/>
        <v>339</v>
      </c>
      <c r="H86" s="12">
        <f t="shared" si="37"/>
        <v>336</v>
      </c>
      <c r="I86" s="12">
        <f t="shared" si="37"/>
        <v>333</v>
      </c>
      <c r="J86" s="12">
        <f t="shared" si="37"/>
        <v>329</v>
      </c>
      <c r="K86" s="12">
        <f t="shared" si="37"/>
        <v>326</v>
      </c>
      <c r="L86" s="12">
        <f t="shared" si="37"/>
        <v>322</v>
      </c>
      <c r="M86" s="12">
        <f t="shared" si="37"/>
        <v>319</v>
      </c>
      <c r="N86" s="12">
        <f t="shared" si="37"/>
        <v>316</v>
      </c>
      <c r="O86" s="12">
        <f t="shared" si="37"/>
        <v>312</v>
      </c>
      <c r="P86" s="12">
        <f t="shared" si="37"/>
        <v>309</v>
      </c>
      <c r="Q86" s="12">
        <f t="shared" si="37"/>
        <v>306</v>
      </c>
      <c r="R86" s="12">
        <f t="shared" si="37"/>
        <v>302</v>
      </c>
    </row>
    <row r="87" spans="1:18" ht="15">
      <c r="A87" s="9"/>
      <c r="B87" s="9">
        <v>300</v>
      </c>
      <c r="C87" s="12">
        <f>ROUNDUP(C80*100^2/$B87,0)</f>
        <v>289</v>
      </c>
      <c r="D87" s="12">
        <f aca="true" t="shared" si="38" ref="D87:R87">ROUNDUP(D80*100^2/$B87,0)</f>
        <v>289</v>
      </c>
      <c r="E87" s="12">
        <f t="shared" si="38"/>
        <v>289</v>
      </c>
      <c r="F87" s="12">
        <f t="shared" si="38"/>
        <v>286</v>
      </c>
      <c r="G87" s="12">
        <f t="shared" si="38"/>
        <v>283</v>
      </c>
      <c r="H87" s="12">
        <f t="shared" si="38"/>
        <v>280</v>
      </c>
      <c r="I87" s="12">
        <f t="shared" si="38"/>
        <v>277</v>
      </c>
      <c r="J87" s="12">
        <f t="shared" si="38"/>
        <v>274</v>
      </c>
      <c r="K87" s="12">
        <f t="shared" si="38"/>
        <v>272</v>
      </c>
      <c r="L87" s="12">
        <f t="shared" si="38"/>
        <v>269</v>
      </c>
      <c r="M87" s="12">
        <f t="shared" si="38"/>
        <v>266</v>
      </c>
      <c r="N87" s="12">
        <f t="shared" si="38"/>
        <v>263</v>
      </c>
      <c r="O87" s="12">
        <f t="shared" si="38"/>
        <v>260</v>
      </c>
      <c r="P87" s="12">
        <f t="shared" si="38"/>
        <v>258</v>
      </c>
      <c r="Q87" s="12">
        <f t="shared" si="38"/>
        <v>255</v>
      </c>
      <c r="R87" s="12">
        <f t="shared" si="38"/>
        <v>252</v>
      </c>
    </row>
    <row r="88" spans="1:18" ht="15">
      <c r="A88" s="9"/>
      <c r="B88" s="9">
        <v>350</v>
      </c>
      <c r="C88" s="12">
        <f>ROUNDUP(C80*100^2/$B88,0)</f>
        <v>248</v>
      </c>
      <c r="D88" s="12">
        <f aca="true" t="shared" si="39" ref="D88:R88">ROUNDUP(D80*100^2/$B88,0)</f>
        <v>248</v>
      </c>
      <c r="E88" s="12">
        <f t="shared" si="39"/>
        <v>247</v>
      </c>
      <c r="F88" s="12">
        <f t="shared" si="39"/>
        <v>245</v>
      </c>
      <c r="G88" s="12">
        <f t="shared" si="39"/>
        <v>243</v>
      </c>
      <c r="H88" s="12">
        <f t="shared" si="39"/>
        <v>240</v>
      </c>
      <c r="I88" s="12">
        <f t="shared" si="39"/>
        <v>238</v>
      </c>
      <c r="J88" s="12">
        <f t="shared" si="39"/>
        <v>235</v>
      </c>
      <c r="K88" s="12">
        <f t="shared" si="39"/>
        <v>233</v>
      </c>
      <c r="L88" s="12">
        <f t="shared" si="39"/>
        <v>230</v>
      </c>
      <c r="M88" s="12">
        <f t="shared" si="39"/>
        <v>228</v>
      </c>
      <c r="N88" s="12">
        <f t="shared" si="39"/>
        <v>226</v>
      </c>
      <c r="O88" s="12">
        <f t="shared" si="39"/>
        <v>223</v>
      </c>
      <c r="P88" s="12">
        <f t="shared" si="39"/>
        <v>221</v>
      </c>
      <c r="Q88" s="12">
        <f t="shared" si="39"/>
        <v>218</v>
      </c>
      <c r="R88" s="12">
        <f t="shared" si="39"/>
        <v>216</v>
      </c>
    </row>
    <row r="89" spans="1:18" ht="15">
      <c r="A89" s="13"/>
      <c r="B89" s="13">
        <v>400</v>
      </c>
      <c r="C89" s="14">
        <f>ROUNDUP(C80*100^2/$B89,0)</f>
        <v>217</v>
      </c>
      <c r="D89" s="14">
        <f aca="true" t="shared" si="40" ref="D89:R89">ROUNDUP(D80*100^2/$B89,0)</f>
        <v>217</v>
      </c>
      <c r="E89" s="14">
        <f t="shared" si="40"/>
        <v>217</v>
      </c>
      <c r="F89" s="14">
        <f t="shared" si="40"/>
        <v>214</v>
      </c>
      <c r="G89" s="14">
        <f t="shared" si="40"/>
        <v>212</v>
      </c>
      <c r="H89" s="14">
        <f t="shared" si="40"/>
        <v>210</v>
      </c>
      <c r="I89" s="14">
        <f t="shared" si="40"/>
        <v>208</v>
      </c>
      <c r="J89" s="14">
        <f t="shared" si="40"/>
        <v>206</v>
      </c>
      <c r="K89" s="14">
        <f t="shared" si="40"/>
        <v>204</v>
      </c>
      <c r="L89" s="14">
        <f t="shared" si="40"/>
        <v>202</v>
      </c>
      <c r="M89" s="14">
        <f t="shared" si="40"/>
        <v>200</v>
      </c>
      <c r="N89" s="14">
        <f t="shared" si="40"/>
        <v>197</v>
      </c>
      <c r="O89" s="14">
        <f t="shared" si="40"/>
        <v>195</v>
      </c>
      <c r="P89" s="14">
        <f t="shared" si="40"/>
        <v>193</v>
      </c>
      <c r="Q89" s="14">
        <f t="shared" si="40"/>
        <v>191</v>
      </c>
      <c r="R89" s="14">
        <f t="shared" si="40"/>
        <v>189</v>
      </c>
    </row>
    <row r="90" spans="1:18" ht="15">
      <c r="A90" s="39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5">
      <c r="A91" s="39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5">
      <c r="A92" s="39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</sheetData>
  <sheetProtection/>
  <mergeCells count="92">
    <mergeCell ref="B72:B73"/>
    <mergeCell ref="B82:B83"/>
    <mergeCell ref="F5:G7"/>
    <mergeCell ref="B42:B43"/>
    <mergeCell ref="B52:B53"/>
    <mergeCell ref="B62:B63"/>
    <mergeCell ref="B80:B81"/>
    <mergeCell ref="C80:C81"/>
    <mergeCell ref="D80:D81"/>
    <mergeCell ref="E80:E81"/>
    <mergeCell ref="F80:F81"/>
    <mergeCell ref="G80:G81"/>
    <mergeCell ref="P40:P41"/>
    <mergeCell ref="Q40:Q41"/>
    <mergeCell ref="R40:R41"/>
    <mergeCell ref="M7:O10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H80:H81"/>
    <mergeCell ref="I80:I81"/>
    <mergeCell ref="J80:J81"/>
    <mergeCell ref="K80:K81"/>
    <mergeCell ref="Q80:Q81"/>
    <mergeCell ref="R80:R81"/>
    <mergeCell ref="L80:L81"/>
    <mergeCell ref="M80:M81"/>
    <mergeCell ref="N80:N81"/>
    <mergeCell ref="O80:O81"/>
    <mergeCell ref="P80:P8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0"/>
  <drawing r:id="rId9"/>
  <legacyDrawing r:id="rId8"/>
  <oleObjects>
    <oleObject progId="Equation.3" shapeId="896713" r:id="rId2"/>
    <oleObject progId="Equation.3" shapeId="896712" r:id="rId3"/>
    <oleObject progId="Equation.3" shapeId="896711" r:id="rId4"/>
    <oleObject progId="Equation.3" shapeId="896710" r:id="rId5"/>
    <oleObject progId="Equation.3" shapeId="896709" r:id="rId6"/>
    <oleObject progId="Equation.3" shapeId="89670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2"/>
  <sheetViews>
    <sheetView zoomScalePageLayoutView="0" workbookViewId="0" topLeftCell="A117">
      <selection activeCell="B144" sqref="B144:E152"/>
    </sheetView>
  </sheetViews>
  <sheetFormatPr defaultColWidth="9.140625" defaultRowHeight="15"/>
  <cols>
    <col min="1" max="1" width="10.8515625" style="0" customWidth="1"/>
    <col min="2" max="2" width="11.57421875" style="0" customWidth="1"/>
    <col min="3" max="3" width="12.00390625" style="0" customWidth="1"/>
    <col min="7" max="7" width="10.421875" style="0" bestFit="1" customWidth="1"/>
  </cols>
  <sheetData>
    <row r="2" ht="15">
      <c r="A2" t="s">
        <v>77</v>
      </c>
    </row>
    <row r="5" spans="1:18" ht="18.75">
      <c r="A5" s="38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6" t="s">
        <v>46</v>
      </c>
      <c r="L5" s="36"/>
      <c r="M5" s="36"/>
      <c r="N5" s="36"/>
      <c r="O5" s="36"/>
      <c r="P5" s="36"/>
      <c r="Q5" s="36"/>
      <c r="R5" s="36"/>
    </row>
    <row r="6" spans="1:18" ht="18.75">
      <c r="A6" s="3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8.75">
      <c r="A7" s="38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5">
      <c r="A8" s="31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5">
      <c r="A9" s="75" t="s">
        <v>40</v>
      </c>
      <c r="B9" s="77"/>
      <c r="C9" s="6" t="s">
        <v>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15">
      <c r="A10" s="76"/>
      <c r="B10" s="78"/>
      <c r="C10" s="43">
        <v>5</v>
      </c>
      <c r="D10" s="33">
        <v>6</v>
      </c>
      <c r="E10" s="33">
        <v>7</v>
      </c>
      <c r="F10" s="33">
        <v>8</v>
      </c>
      <c r="G10" s="33">
        <v>9</v>
      </c>
      <c r="H10" s="33">
        <v>10</v>
      </c>
      <c r="I10" s="33">
        <v>11</v>
      </c>
      <c r="J10" s="33">
        <v>12</v>
      </c>
      <c r="K10" s="33">
        <v>13</v>
      </c>
      <c r="L10" s="33">
        <v>14</v>
      </c>
      <c r="M10" s="33">
        <v>15</v>
      </c>
      <c r="N10" s="33">
        <v>16</v>
      </c>
      <c r="O10" s="33">
        <v>17</v>
      </c>
      <c r="P10" s="33">
        <v>18</v>
      </c>
      <c r="Q10" s="33">
        <v>19</v>
      </c>
      <c r="R10" s="33">
        <v>20</v>
      </c>
    </row>
    <row r="11" spans="1:18" ht="15">
      <c r="A11" s="37" t="s">
        <v>72</v>
      </c>
      <c r="B11" s="68" t="s">
        <v>76</v>
      </c>
      <c r="C11" s="67">
        <v>0.7742397525352481</v>
      </c>
      <c r="D11" s="67">
        <v>0.7539716961861579</v>
      </c>
      <c r="E11" s="67">
        <v>0.7337036398370677</v>
      </c>
      <c r="F11" s="67">
        <v>0.7134355834879773</v>
      </c>
      <c r="G11" s="67">
        <v>0.6931675271388872</v>
      </c>
      <c r="H11" s="67">
        <v>0.6728994707897968</v>
      </c>
      <c r="I11" s="67">
        <v>0.6546582200756157</v>
      </c>
      <c r="J11" s="67">
        <v>0.6445241919010705</v>
      </c>
      <c r="K11" s="67">
        <v>0.6343901637265253</v>
      </c>
      <c r="L11" s="67">
        <v>0.6242561355519802</v>
      </c>
      <c r="M11" s="67">
        <v>0.6141221073774351</v>
      </c>
      <c r="N11" s="67">
        <v>0.6039880792028899</v>
      </c>
      <c r="O11" s="67">
        <v>0.5938540510283448</v>
      </c>
      <c r="P11" s="67">
        <v>0.5837200228537996</v>
      </c>
      <c r="Q11" s="67">
        <v>0.5735859946792545</v>
      </c>
      <c r="R11" s="67">
        <v>0.5634519665047094</v>
      </c>
    </row>
    <row r="12" spans="2:18" ht="15" customHeight="1">
      <c r="B12" s="68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 ht="15" customHeight="1">
      <c r="B13" s="71" t="s">
        <v>55</v>
      </c>
      <c r="C13" s="9">
        <v>1.07</v>
      </c>
      <c r="D13" s="9">
        <v>1.05</v>
      </c>
      <c r="E13" s="9">
        <v>1.02</v>
      </c>
      <c r="F13" s="9">
        <v>1</v>
      </c>
      <c r="G13" s="9">
        <v>0.98</v>
      </c>
      <c r="H13" s="9">
        <v>0.96</v>
      </c>
      <c r="I13" s="9">
        <v>0.94</v>
      </c>
      <c r="J13" s="9">
        <v>0.92</v>
      </c>
      <c r="K13" s="9">
        <v>0.9</v>
      </c>
      <c r="L13" s="9">
        <v>0.88</v>
      </c>
      <c r="M13" s="9">
        <v>0.86</v>
      </c>
      <c r="N13" s="9">
        <v>0.85</v>
      </c>
      <c r="O13" s="9">
        <v>0.83</v>
      </c>
      <c r="P13" s="9">
        <v>0.81</v>
      </c>
      <c r="Q13" s="9">
        <v>0.8</v>
      </c>
      <c r="R13" s="9">
        <v>0.78</v>
      </c>
    </row>
    <row r="14" spans="1:18" ht="15" customHeight="1">
      <c r="A14" s="9"/>
      <c r="B14" s="71"/>
      <c r="C14" s="35">
        <v>-0.29576024746475194</v>
      </c>
      <c r="D14" s="35">
        <v>-0.29602830381384215</v>
      </c>
      <c r="E14" s="35">
        <v>-0.28629636016293236</v>
      </c>
      <c r="F14" s="35">
        <v>-0.2865644165120227</v>
      </c>
      <c r="G14" s="35">
        <v>-0.2868324728611128</v>
      </c>
      <c r="H14" s="35">
        <v>-0.2871005292102031</v>
      </c>
      <c r="I14" s="35">
        <v>-0.28534177992438425</v>
      </c>
      <c r="J14" s="35">
        <v>-0.2754758080989296</v>
      </c>
      <c r="K14" s="35">
        <v>-0.2656098362734747</v>
      </c>
      <c r="L14" s="35">
        <v>-0.2557438644480198</v>
      </c>
      <c r="M14" s="35">
        <v>-0.24587789262256488</v>
      </c>
      <c r="N14" s="35">
        <v>-0.2460119207971101</v>
      </c>
      <c r="O14" s="35">
        <v>-0.2361459489716552</v>
      </c>
      <c r="P14" s="35">
        <v>-0.2262799771462004</v>
      </c>
      <c r="Q14" s="35">
        <v>-0.22641400532074551</v>
      </c>
      <c r="R14" s="35">
        <v>-0.21654803349529061</v>
      </c>
    </row>
    <row r="15" spans="2:18" ht="15" customHeight="1">
      <c r="B15" s="11" t="s">
        <v>31</v>
      </c>
      <c r="C15" s="34">
        <v>92.5925925925926</v>
      </c>
      <c r="D15" s="34">
        <v>111.11111111111111</v>
      </c>
      <c r="E15" s="34">
        <v>129.62962962962962</v>
      </c>
      <c r="F15" s="34">
        <v>148.14814814814815</v>
      </c>
      <c r="G15" s="34">
        <v>166.66666666666666</v>
      </c>
      <c r="H15" s="34">
        <v>185.1851851851852</v>
      </c>
      <c r="I15" s="34">
        <v>203.7037037037037</v>
      </c>
      <c r="J15" s="34">
        <v>222.22222222222223</v>
      </c>
      <c r="K15" s="34">
        <v>240.74074074074073</v>
      </c>
      <c r="L15" s="34">
        <v>259.25925925925924</v>
      </c>
      <c r="M15" s="34">
        <v>277.77777777777777</v>
      </c>
      <c r="N15" s="34">
        <v>296.2962962962963</v>
      </c>
      <c r="O15" s="34">
        <v>314.81481481481484</v>
      </c>
      <c r="P15" s="34">
        <v>333.3333333333333</v>
      </c>
      <c r="Q15" s="34">
        <v>351.85185185185185</v>
      </c>
      <c r="R15" s="34">
        <v>370.3703703703704</v>
      </c>
    </row>
    <row r="16" spans="2:18" ht="15">
      <c r="B16" s="11" t="s">
        <v>64</v>
      </c>
      <c r="C16" s="35">
        <v>0.9432098765432099</v>
      </c>
      <c r="D16" s="35">
        <v>0.9185185185185185</v>
      </c>
      <c r="E16" s="35">
        <v>0.8938271604938272</v>
      </c>
      <c r="F16" s="35">
        <v>0.8691358024691358</v>
      </c>
      <c r="G16" s="35">
        <v>0.8444444444444446</v>
      </c>
      <c r="H16" s="35">
        <v>0.8197530864197531</v>
      </c>
      <c r="I16" s="35">
        <v>0.7975308641975309</v>
      </c>
      <c r="J16" s="35">
        <v>0.7851851851851852</v>
      </c>
      <c r="K16" s="35">
        <v>0.7728395061728396</v>
      </c>
      <c r="L16" s="35">
        <v>0.7604938271604939</v>
      </c>
      <c r="M16" s="35">
        <v>0.7481481481481482</v>
      </c>
      <c r="N16" s="35">
        <v>0.7358024691358025</v>
      </c>
      <c r="O16" s="35">
        <v>0.7234567901234568</v>
      </c>
      <c r="P16" s="35">
        <v>0.7111111111111111</v>
      </c>
      <c r="Q16" s="35">
        <v>0.6987654320987654</v>
      </c>
      <c r="R16" s="35">
        <v>0.6864197530864198</v>
      </c>
    </row>
    <row r="17" spans="1:18" ht="15">
      <c r="A17" s="47" t="s">
        <v>65</v>
      </c>
      <c r="B17" s="9">
        <v>250</v>
      </c>
      <c r="C17" s="12">
        <v>31</v>
      </c>
      <c r="D17" s="12">
        <v>31</v>
      </c>
      <c r="E17" s="12">
        <v>30</v>
      </c>
      <c r="F17" s="12">
        <v>29</v>
      </c>
      <c r="G17" s="12">
        <v>28</v>
      </c>
      <c r="H17" s="12">
        <v>27</v>
      </c>
      <c r="I17" s="12">
        <v>27</v>
      </c>
      <c r="J17" s="12">
        <v>26</v>
      </c>
      <c r="K17" s="12">
        <v>26</v>
      </c>
      <c r="L17" s="12">
        <v>25</v>
      </c>
      <c r="M17" s="12">
        <v>25</v>
      </c>
      <c r="N17" s="12">
        <v>25</v>
      </c>
      <c r="O17" s="12">
        <v>24</v>
      </c>
      <c r="P17" s="12">
        <v>24</v>
      </c>
      <c r="Q17" s="12">
        <v>23</v>
      </c>
      <c r="R17" s="12">
        <v>23</v>
      </c>
    </row>
    <row r="18" spans="1:18" ht="15">
      <c r="A18" s="47">
        <v>4100</v>
      </c>
      <c r="B18" s="9">
        <v>300</v>
      </c>
      <c r="C18" s="12">
        <v>26</v>
      </c>
      <c r="D18" s="12">
        <v>26</v>
      </c>
      <c r="E18" s="12">
        <v>25</v>
      </c>
      <c r="F18" s="12">
        <v>24</v>
      </c>
      <c r="G18" s="12">
        <v>24</v>
      </c>
      <c r="H18" s="12">
        <v>23</v>
      </c>
      <c r="I18" s="12">
        <v>22</v>
      </c>
      <c r="J18" s="12">
        <v>22</v>
      </c>
      <c r="K18" s="12">
        <v>22</v>
      </c>
      <c r="L18" s="12">
        <v>21</v>
      </c>
      <c r="M18" s="12">
        <v>21</v>
      </c>
      <c r="N18" s="12">
        <v>21</v>
      </c>
      <c r="O18" s="12">
        <v>20</v>
      </c>
      <c r="P18" s="12">
        <v>20</v>
      </c>
      <c r="Q18" s="12">
        <v>20</v>
      </c>
      <c r="R18" s="12">
        <v>19</v>
      </c>
    </row>
    <row r="19" spans="1:18" ht="15">
      <c r="A19" s="47" t="s">
        <v>61</v>
      </c>
      <c r="B19" s="9">
        <v>350</v>
      </c>
      <c r="C19" s="12">
        <v>23</v>
      </c>
      <c r="D19" s="12">
        <v>22</v>
      </c>
      <c r="E19" s="12">
        <v>21</v>
      </c>
      <c r="F19" s="12">
        <v>21</v>
      </c>
      <c r="G19" s="12">
        <v>20</v>
      </c>
      <c r="H19" s="12">
        <v>20</v>
      </c>
      <c r="I19" s="12">
        <v>19</v>
      </c>
      <c r="J19" s="12">
        <v>19</v>
      </c>
      <c r="K19" s="12">
        <v>19</v>
      </c>
      <c r="L19" s="12">
        <v>18</v>
      </c>
      <c r="M19" s="12">
        <v>18</v>
      </c>
      <c r="N19" s="12">
        <v>18</v>
      </c>
      <c r="O19" s="12">
        <v>17</v>
      </c>
      <c r="P19" s="12">
        <v>17</v>
      </c>
      <c r="Q19" s="12">
        <v>17</v>
      </c>
      <c r="R19" s="12">
        <v>17</v>
      </c>
    </row>
    <row r="20" spans="1:18" ht="15">
      <c r="A20" s="47">
        <v>54</v>
      </c>
      <c r="B20" s="13">
        <v>400</v>
      </c>
      <c r="C20" s="14">
        <v>20</v>
      </c>
      <c r="D20" s="14">
        <v>19</v>
      </c>
      <c r="E20" s="14">
        <v>19</v>
      </c>
      <c r="F20" s="14">
        <v>18</v>
      </c>
      <c r="G20" s="14">
        <v>18</v>
      </c>
      <c r="H20" s="14">
        <v>17</v>
      </c>
      <c r="I20" s="14">
        <v>17</v>
      </c>
      <c r="J20" s="14">
        <v>17</v>
      </c>
      <c r="K20" s="14">
        <v>16</v>
      </c>
      <c r="L20" s="14">
        <v>16</v>
      </c>
      <c r="M20" s="14">
        <v>16</v>
      </c>
      <c r="N20" s="14">
        <v>16</v>
      </c>
      <c r="O20" s="14">
        <v>15</v>
      </c>
      <c r="P20" s="14">
        <v>15</v>
      </c>
      <c r="Q20" s="14">
        <v>15</v>
      </c>
      <c r="R20" s="14">
        <v>15</v>
      </c>
    </row>
    <row r="21" spans="1:18" ht="15">
      <c r="A21" s="40" t="s">
        <v>73</v>
      </c>
      <c r="B21" s="68" t="s">
        <v>76</v>
      </c>
      <c r="C21" s="67">
        <v>1.1366390515781395</v>
      </c>
      <c r="D21" s="67">
        <v>1.1111538710494817</v>
      </c>
      <c r="E21" s="67">
        <v>1.0856686905208237</v>
      </c>
      <c r="F21" s="67">
        <v>1.060183509992166</v>
      </c>
      <c r="G21" s="67">
        <v>1.0346983294635081</v>
      </c>
      <c r="H21" s="67">
        <v>1.0092131489348504</v>
      </c>
      <c r="I21" s="67">
        <v>0.9837279684061926</v>
      </c>
      <c r="J21" s="67">
        <v>0.9582427878775346</v>
      </c>
      <c r="K21" s="67">
        <v>0.9404031615074742</v>
      </c>
      <c r="L21" s="67">
        <v>0.9276605712431453</v>
      </c>
      <c r="M21" s="67">
        <v>0.9149179809788164</v>
      </c>
      <c r="N21" s="67">
        <v>0.9021753907144875</v>
      </c>
      <c r="O21" s="67">
        <v>0.8894328004501585</v>
      </c>
      <c r="P21" s="67">
        <v>0.8766902101858296</v>
      </c>
      <c r="Q21" s="67">
        <v>0.8639476199215006</v>
      </c>
      <c r="R21" s="67">
        <v>0.8512050296571717</v>
      </c>
    </row>
    <row r="22" spans="2:18" ht="15" customHeight="1" hidden="1">
      <c r="B22" s="68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 ht="15" customHeight="1" hidden="1">
      <c r="B23" s="71" t="s">
        <v>55</v>
      </c>
      <c r="C23" s="9">
        <v>1.68</v>
      </c>
      <c r="D23" s="9">
        <v>1.65</v>
      </c>
      <c r="E23" s="9">
        <v>1.62</v>
      </c>
      <c r="F23" s="9">
        <v>1.59</v>
      </c>
      <c r="G23" s="9">
        <v>1.56</v>
      </c>
      <c r="H23" s="9">
        <v>1.53</v>
      </c>
      <c r="I23" s="9">
        <v>1.5</v>
      </c>
      <c r="J23" s="9">
        <v>1.48</v>
      </c>
      <c r="K23" s="9">
        <v>1.45</v>
      </c>
      <c r="L23" s="9">
        <v>1.42</v>
      </c>
      <c r="M23" s="9">
        <v>1.4</v>
      </c>
      <c r="N23" s="9">
        <v>1.37</v>
      </c>
      <c r="O23" s="9">
        <v>1.35</v>
      </c>
      <c r="P23" s="9">
        <v>1.33</v>
      </c>
      <c r="Q23" s="9">
        <v>1.3</v>
      </c>
      <c r="R23" s="9">
        <v>1.28</v>
      </c>
    </row>
    <row r="24" spans="1:18" ht="15" customHeight="1" hidden="1">
      <c r="A24" s="9"/>
      <c r="B24" s="71"/>
      <c r="C24" s="35">
        <v>-0.5433609484218604</v>
      </c>
      <c r="D24" s="35">
        <v>-0.5388461289505182</v>
      </c>
      <c r="E24" s="35">
        <v>-0.5343313094791764</v>
      </c>
      <c r="F24" s="35">
        <v>-0.5298164900078342</v>
      </c>
      <c r="G24" s="35">
        <v>-0.5253016705364919</v>
      </c>
      <c r="H24" s="35">
        <v>-0.5207868510651497</v>
      </c>
      <c r="I24" s="35">
        <v>-0.5162720315938074</v>
      </c>
      <c r="J24" s="35">
        <v>-0.5217572121224654</v>
      </c>
      <c r="K24" s="35">
        <v>-0.5095968384925258</v>
      </c>
      <c r="L24" s="35">
        <v>-0.49233942875685466</v>
      </c>
      <c r="M24" s="35">
        <v>-0.48508201902118353</v>
      </c>
      <c r="N24" s="35">
        <v>-0.4678246092855126</v>
      </c>
      <c r="O24" s="35">
        <v>-0.4605671995498416</v>
      </c>
      <c r="P24" s="35">
        <v>-0.45330978981417047</v>
      </c>
      <c r="Q24" s="35">
        <v>-0.43605238007849945</v>
      </c>
      <c r="R24" s="35">
        <v>-0.4287949703428283</v>
      </c>
    </row>
    <row r="25" spans="2:18" ht="15" customHeight="1" hidden="1">
      <c r="B25" s="11" t="s">
        <v>31</v>
      </c>
      <c r="C25" s="34">
        <v>80.64516129032258</v>
      </c>
      <c r="D25" s="34">
        <v>96.7741935483871</v>
      </c>
      <c r="E25" s="34">
        <v>112.90322580645162</v>
      </c>
      <c r="F25" s="34">
        <v>129.03225806451613</v>
      </c>
      <c r="G25" s="34">
        <v>145.16129032258064</v>
      </c>
      <c r="H25" s="34">
        <v>161.29032258064515</v>
      </c>
      <c r="I25" s="34">
        <v>177.41935483870967</v>
      </c>
      <c r="J25" s="34">
        <v>193.5483870967742</v>
      </c>
      <c r="K25" s="34">
        <v>209.67741935483872</v>
      </c>
      <c r="L25" s="34">
        <v>225.80645161290323</v>
      </c>
      <c r="M25" s="34">
        <v>241.93548387096774</v>
      </c>
      <c r="N25" s="34">
        <v>258.06451612903226</v>
      </c>
      <c r="O25" s="34">
        <v>274.19354838709677</v>
      </c>
      <c r="P25" s="34">
        <v>290.3225806451613</v>
      </c>
      <c r="Q25" s="34">
        <v>306.4516129032258</v>
      </c>
      <c r="R25" s="34">
        <v>322.5806451612903</v>
      </c>
    </row>
    <row r="26" spans="2:18" ht="15" hidden="1">
      <c r="B26" s="11" t="s">
        <v>64</v>
      </c>
      <c r="C26" s="35">
        <v>0.9591397849462365</v>
      </c>
      <c r="D26" s="35">
        <v>0.9376344086021505</v>
      </c>
      <c r="E26" s="35">
        <v>0.9161290322580645</v>
      </c>
      <c r="F26" s="35">
        <v>0.8946236559139785</v>
      </c>
      <c r="G26" s="35">
        <v>0.8731182795698925</v>
      </c>
      <c r="H26" s="35">
        <v>0.8516129032258065</v>
      </c>
      <c r="I26" s="35">
        <v>0.8301075268817205</v>
      </c>
      <c r="J26" s="35">
        <v>0.8086021505376344</v>
      </c>
      <c r="K26" s="35">
        <v>0.7935483870967742</v>
      </c>
      <c r="L26" s="35">
        <v>0.7827956989247312</v>
      </c>
      <c r="M26" s="35">
        <v>0.7720430107526882</v>
      </c>
      <c r="N26" s="35">
        <v>0.7612903225806452</v>
      </c>
      <c r="O26" s="35">
        <v>0.7505376344086022</v>
      </c>
      <c r="P26" s="35">
        <v>0.7397849462365592</v>
      </c>
      <c r="Q26" s="35">
        <v>0.7290322580645161</v>
      </c>
      <c r="R26" s="35">
        <v>0.7182795698924731</v>
      </c>
    </row>
    <row r="27" spans="1:18" ht="15">
      <c r="A27" s="47" t="s">
        <v>65</v>
      </c>
      <c r="B27" s="9">
        <v>250</v>
      </c>
      <c r="C27" s="12">
        <v>46</v>
      </c>
      <c r="D27" s="12">
        <v>45</v>
      </c>
      <c r="E27" s="12">
        <v>44</v>
      </c>
      <c r="F27" s="12">
        <v>43</v>
      </c>
      <c r="G27" s="12">
        <v>42</v>
      </c>
      <c r="H27" s="12">
        <v>41</v>
      </c>
      <c r="I27" s="12">
        <v>40</v>
      </c>
      <c r="J27" s="12">
        <v>39</v>
      </c>
      <c r="K27" s="12">
        <v>38</v>
      </c>
      <c r="L27" s="12">
        <v>38</v>
      </c>
      <c r="M27" s="12">
        <v>37</v>
      </c>
      <c r="N27" s="12">
        <v>37</v>
      </c>
      <c r="O27" s="12">
        <v>36</v>
      </c>
      <c r="P27" s="12">
        <v>36</v>
      </c>
      <c r="Q27" s="12">
        <v>35</v>
      </c>
      <c r="R27" s="12">
        <v>35</v>
      </c>
    </row>
    <row r="28" spans="1:18" ht="15">
      <c r="A28" s="47">
        <v>5500</v>
      </c>
      <c r="B28" s="9">
        <v>300</v>
      </c>
      <c r="C28" s="12">
        <v>38</v>
      </c>
      <c r="D28" s="12">
        <v>38</v>
      </c>
      <c r="E28" s="12">
        <v>37</v>
      </c>
      <c r="F28" s="12">
        <v>36</v>
      </c>
      <c r="G28" s="12">
        <v>35</v>
      </c>
      <c r="H28" s="12">
        <v>34</v>
      </c>
      <c r="I28" s="12">
        <v>33</v>
      </c>
      <c r="J28" s="12">
        <v>32</v>
      </c>
      <c r="K28" s="12">
        <v>32</v>
      </c>
      <c r="L28" s="12">
        <v>31</v>
      </c>
      <c r="M28" s="12">
        <v>31</v>
      </c>
      <c r="N28" s="12">
        <v>31</v>
      </c>
      <c r="O28" s="12">
        <v>30</v>
      </c>
      <c r="P28" s="12">
        <v>30</v>
      </c>
      <c r="Q28" s="12">
        <v>29</v>
      </c>
      <c r="R28" s="12">
        <v>29</v>
      </c>
    </row>
    <row r="29" spans="1:18" ht="15">
      <c r="A29" s="47" t="s">
        <v>61</v>
      </c>
      <c r="B29" s="9">
        <v>350</v>
      </c>
      <c r="C29" s="12">
        <v>33</v>
      </c>
      <c r="D29" s="12">
        <v>32</v>
      </c>
      <c r="E29" s="12">
        <v>32</v>
      </c>
      <c r="F29" s="12">
        <v>31</v>
      </c>
      <c r="G29" s="12">
        <v>30</v>
      </c>
      <c r="H29" s="12">
        <v>29</v>
      </c>
      <c r="I29" s="12">
        <v>29</v>
      </c>
      <c r="J29" s="12">
        <v>28</v>
      </c>
      <c r="K29" s="12">
        <v>27</v>
      </c>
      <c r="L29" s="12">
        <v>27</v>
      </c>
      <c r="M29" s="12">
        <v>27</v>
      </c>
      <c r="N29" s="12">
        <v>26</v>
      </c>
      <c r="O29" s="12">
        <v>26</v>
      </c>
      <c r="P29" s="12">
        <v>26</v>
      </c>
      <c r="Q29" s="12">
        <v>25</v>
      </c>
      <c r="R29" s="12">
        <v>25</v>
      </c>
    </row>
    <row r="30" spans="1:18" ht="15">
      <c r="A30" s="47">
        <v>62</v>
      </c>
      <c r="B30" s="13">
        <v>400</v>
      </c>
      <c r="C30" s="14">
        <v>29</v>
      </c>
      <c r="D30" s="14">
        <v>28</v>
      </c>
      <c r="E30" s="14">
        <v>28</v>
      </c>
      <c r="F30" s="14">
        <v>27</v>
      </c>
      <c r="G30" s="14">
        <v>26</v>
      </c>
      <c r="H30" s="14">
        <v>26</v>
      </c>
      <c r="I30" s="14">
        <v>25</v>
      </c>
      <c r="J30" s="14">
        <v>24</v>
      </c>
      <c r="K30" s="14">
        <v>24</v>
      </c>
      <c r="L30" s="14">
        <v>24</v>
      </c>
      <c r="M30" s="14">
        <v>23</v>
      </c>
      <c r="N30" s="14">
        <v>23</v>
      </c>
      <c r="O30" s="14">
        <v>23</v>
      </c>
      <c r="P30" s="14">
        <v>22</v>
      </c>
      <c r="Q30" s="14">
        <v>22</v>
      </c>
      <c r="R30" s="14">
        <v>22</v>
      </c>
    </row>
    <row r="31" spans="1:18" ht="15">
      <c r="A31" s="40" t="s">
        <v>74</v>
      </c>
      <c r="B31" s="68" t="s">
        <v>76</v>
      </c>
      <c r="C31" s="67">
        <v>2.1221732696908178</v>
      </c>
      <c r="D31" s="67">
        <v>2.0852016099401065</v>
      </c>
      <c r="E31" s="67">
        <v>2.0482299501893952</v>
      </c>
      <c r="F31" s="67">
        <v>2.0112582904386844</v>
      </c>
      <c r="G31" s="67">
        <v>1.9742866306879732</v>
      </c>
      <c r="H31" s="67">
        <v>1.9373149709372621</v>
      </c>
      <c r="I31" s="67">
        <v>1.900343311186551</v>
      </c>
      <c r="J31" s="67">
        <v>1.86337165143584</v>
      </c>
      <c r="K31" s="67">
        <v>1.826399991685129</v>
      </c>
      <c r="L31" s="67">
        <v>1.7894283319344177</v>
      </c>
      <c r="M31" s="67">
        <v>1.7524566721837065</v>
      </c>
      <c r="N31" s="67">
        <v>1.7228793443831378</v>
      </c>
      <c r="O31" s="67">
        <v>1.7043935145077824</v>
      </c>
      <c r="P31" s="67">
        <v>1.6859076846324266</v>
      </c>
      <c r="Q31" s="67">
        <v>1.6674218547570712</v>
      </c>
      <c r="R31" s="67">
        <v>1.6489360248817155</v>
      </c>
    </row>
    <row r="32" spans="2:18" ht="15" customHeight="1">
      <c r="B32" s="68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ht="15" customHeight="1">
      <c r="A33" s="9" t="s">
        <v>60</v>
      </c>
      <c r="B33" s="42" t="s">
        <v>78</v>
      </c>
      <c r="C33" s="41">
        <f>0.0000267*$A$34^1.25</f>
        <v>2.3080689027827024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ht="15" customHeight="1">
      <c r="A34" s="9">
        <v>8900</v>
      </c>
      <c r="B34" s="71" t="s">
        <v>55</v>
      </c>
      <c r="C34" s="9">
        <v>2.68</v>
      </c>
      <c r="D34" s="9">
        <v>2.64</v>
      </c>
      <c r="E34" s="9">
        <v>2.59</v>
      </c>
      <c r="F34" s="9">
        <v>2.55</v>
      </c>
      <c r="G34" s="9">
        <v>2.51</v>
      </c>
      <c r="H34" s="9">
        <v>2.48</v>
      </c>
      <c r="I34" s="9">
        <v>2.44</v>
      </c>
      <c r="J34" s="9">
        <v>2.4</v>
      </c>
      <c r="K34" s="9">
        <v>2.36</v>
      </c>
      <c r="L34" s="9">
        <v>2.33</v>
      </c>
      <c r="M34" s="9">
        <v>2.29</v>
      </c>
      <c r="N34" s="9">
        <v>2.26</v>
      </c>
      <c r="O34" s="9">
        <v>2.22</v>
      </c>
      <c r="P34" s="9">
        <v>2.19</v>
      </c>
      <c r="Q34" s="9">
        <v>2.16</v>
      </c>
      <c r="R34" s="9">
        <v>2.13</v>
      </c>
    </row>
    <row r="35" spans="1:18" ht="15" customHeight="1">
      <c r="A35" s="9"/>
      <c r="B35" s="71"/>
      <c r="C35" s="35">
        <v>-0.5578267303091824</v>
      </c>
      <c r="D35" s="35">
        <v>-0.5547983900598936</v>
      </c>
      <c r="E35" s="35">
        <v>-0.5417700498106046</v>
      </c>
      <c r="F35" s="35">
        <v>-0.5387417095613154</v>
      </c>
      <c r="G35" s="35">
        <v>-0.5357133693120266</v>
      </c>
      <c r="H35" s="35">
        <v>-0.5426850290627379</v>
      </c>
      <c r="I35" s="35">
        <v>-0.5396566888134489</v>
      </c>
      <c r="J35" s="35">
        <v>-0.5366283485641599</v>
      </c>
      <c r="K35" s="35">
        <v>-0.5336000083148709</v>
      </c>
      <c r="L35" s="35">
        <v>-0.5405716680655823</v>
      </c>
      <c r="M35" s="35">
        <v>-0.5375433278162935</v>
      </c>
      <c r="N35" s="35">
        <v>-0.537120655616862</v>
      </c>
      <c r="O35" s="35">
        <v>-0.5156064854922178</v>
      </c>
      <c r="P35" s="35">
        <v>-0.5040923153675734</v>
      </c>
      <c r="Q35" s="35">
        <v>-0.492578145242929</v>
      </c>
      <c r="R35" s="35">
        <v>-0.48106397511828436</v>
      </c>
    </row>
    <row r="36" spans="2:18" ht="15" customHeight="1">
      <c r="B36" s="11" t="s">
        <v>31</v>
      </c>
      <c r="C36" s="34">
        <v>64.1025641025641</v>
      </c>
      <c r="D36" s="34">
        <v>76.92307692307692</v>
      </c>
      <c r="E36" s="34">
        <v>89.74358974358974</v>
      </c>
      <c r="F36" s="34">
        <v>102.56410256410257</v>
      </c>
      <c r="G36" s="34">
        <v>115.38461538461539</v>
      </c>
      <c r="H36" s="34">
        <v>128.2051282051282</v>
      </c>
      <c r="I36" s="34">
        <v>141.02564102564102</v>
      </c>
      <c r="J36" s="34">
        <v>153.84615384615384</v>
      </c>
      <c r="K36" s="34">
        <v>166.66666666666666</v>
      </c>
      <c r="L36" s="34">
        <v>179.48717948717947</v>
      </c>
      <c r="M36" s="34">
        <v>192.30769230769232</v>
      </c>
      <c r="N36" s="34">
        <v>205.12820512820514</v>
      </c>
      <c r="O36" s="34">
        <v>217.94871794871796</v>
      </c>
      <c r="P36" s="34">
        <v>230.76923076923077</v>
      </c>
      <c r="Q36" s="34">
        <v>243.5897435897436</v>
      </c>
      <c r="R36" s="34">
        <v>256.4102564102564</v>
      </c>
    </row>
    <row r="37" spans="2:18" ht="15">
      <c r="B37" s="11" t="s">
        <v>64</v>
      </c>
      <c r="C37" s="35">
        <v>0.9811965811965812</v>
      </c>
      <c r="D37" s="35">
        <v>0.9641025641025641</v>
      </c>
      <c r="E37" s="35">
        <v>0.947008547008547</v>
      </c>
      <c r="F37" s="35">
        <v>0.9299145299145299</v>
      </c>
      <c r="G37" s="35">
        <v>0.9128205128205128</v>
      </c>
      <c r="H37" s="35">
        <v>0.8957264957264958</v>
      </c>
      <c r="I37" s="35">
        <v>0.8786324786324786</v>
      </c>
      <c r="J37" s="35">
        <v>0.8615384615384616</v>
      </c>
      <c r="K37" s="35">
        <v>0.8444444444444446</v>
      </c>
      <c r="L37" s="35">
        <v>0.8273504273504274</v>
      </c>
      <c r="M37" s="35">
        <v>0.8102564102564103</v>
      </c>
      <c r="N37" s="35">
        <v>0.7965811965811966</v>
      </c>
      <c r="O37" s="35">
        <v>0.7880341880341881</v>
      </c>
      <c r="P37" s="35">
        <v>0.7794871794871795</v>
      </c>
      <c r="Q37" s="35">
        <v>0.770940170940171</v>
      </c>
      <c r="R37" s="35">
        <v>0.7623931623931625</v>
      </c>
    </row>
    <row r="38" spans="1:18" ht="15">
      <c r="A38" s="47" t="s">
        <v>65</v>
      </c>
      <c r="B38" s="9">
        <v>250</v>
      </c>
      <c r="C38" s="12">
        <v>85</v>
      </c>
      <c r="D38" s="12">
        <v>84</v>
      </c>
      <c r="E38" s="12">
        <v>82</v>
      </c>
      <c r="F38" s="12">
        <v>81</v>
      </c>
      <c r="G38" s="12">
        <v>79</v>
      </c>
      <c r="H38" s="12">
        <v>78</v>
      </c>
      <c r="I38" s="12">
        <v>77</v>
      </c>
      <c r="J38" s="12">
        <v>75</v>
      </c>
      <c r="K38" s="12">
        <v>74</v>
      </c>
      <c r="L38" s="12">
        <v>72</v>
      </c>
      <c r="M38" s="12">
        <v>71</v>
      </c>
      <c r="N38" s="12">
        <v>69</v>
      </c>
      <c r="O38" s="12">
        <v>69</v>
      </c>
      <c r="P38" s="12">
        <v>68</v>
      </c>
      <c r="Q38" s="12">
        <v>67</v>
      </c>
      <c r="R38" s="12">
        <v>66</v>
      </c>
    </row>
    <row r="39" spans="1:18" ht="15">
      <c r="A39" s="47">
        <v>8900</v>
      </c>
      <c r="B39" s="9">
        <v>300</v>
      </c>
      <c r="C39" s="12">
        <v>71</v>
      </c>
      <c r="D39" s="12">
        <v>70</v>
      </c>
      <c r="E39" s="12">
        <v>69</v>
      </c>
      <c r="F39" s="12">
        <v>68</v>
      </c>
      <c r="G39" s="12">
        <v>66</v>
      </c>
      <c r="H39" s="12">
        <v>65</v>
      </c>
      <c r="I39" s="12">
        <v>64</v>
      </c>
      <c r="J39" s="12">
        <v>63</v>
      </c>
      <c r="K39" s="12">
        <v>61</v>
      </c>
      <c r="L39" s="12">
        <v>60</v>
      </c>
      <c r="M39" s="12">
        <v>59</v>
      </c>
      <c r="N39" s="12">
        <v>58</v>
      </c>
      <c r="O39" s="12">
        <v>57</v>
      </c>
      <c r="P39" s="12">
        <v>57</v>
      </c>
      <c r="Q39" s="12">
        <v>56</v>
      </c>
      <c r="R39" s="12">
        <v>55</v>
      </c>
    </row>
    <row r="40" spans="1:18" ht="15">
      <c r="A40" s="47" t="s">
        <v>61</v>
      </c>
      <c r="B40" s="9">
        <v>350</v>
      </c>
      <c r="C40" s="12">
        <v>61</v>
      </c>
      <c r="D40" s="12">
        <v>60</v>
      </c>
      <c r="E40" s="12">
        <v>59</v>
      </c>
      <c r="F40" s="12">
        <v>58</v>
      </c>
      <c r="G40" s="12">
        <v>57</v>
      </c>
      <c r="H40" s="12">
        <v>56</v>
      </c>
      <c r="I40" s="12">
        <v>55</v>
      </c>
      <c r="J40" s="12">
        <v>54</v>
      </c>
      <c r="K40" s="12">
        <v>53</v>
      </c>
      <c r="L40" s="12">
        <v>52</v>
      </c>
      <c r="M40" s="12">
        <v>51</v>
      </c>
      <c r="N40" s="12">
        <v>50</v>
      </c>
      <c r="O40" s="12">
        <v>49</v>
      </c>
      <c r="P40" s="12">
        <v>49</v>
      </c>
      <c r="Q40" s="12">
        <v>48</v>
      </c>
      <c r="R40" s="12">
        <v>48</v>
      </c>
    </row>
    <row r="41" spans="1:18" ht="15">
      <c r="A41" s="47">
        <v>78</v>
      </c>
      <c r="B41" s="13">
        <v>400</v>
      </c>
      <c r="C41" s="14">
        <v>54</v>
      </c>
      <c r="D41" s="14">
        <v>53</v>
      </c>
      <c r="E41" s="14">
        <v>52</v>
      </c>
      <c r="F41" s="14">
        <v>51</v>
      </c>
      <c r="G41" s="14">
        <v>50</v>
      </c>
      <c r="H41" s="14">
        <v>49</v>
      </c>
      <c r="I41" s="14">
        <v>48</v>
      </c>
      <c r="J41" s="14">
        <v>47</v>
      </c>
      <c r="K41" s="14">
        <v>46</v>
      </c>
      <c r="L41" s="14">
        <v>45</v>
      </c>
      <c r="M41" s="14">
        <v>44</v>
      </c>
      <c r="N41" s="14">
        <v>44</v>
      </c>
      <c r="O41" s="14">
        <v>43</v>
      </c>
      <c r="P41" s="14">
        <v>43</v>
      </c>
      <c r="Q41" s="14">
        <v>42</v>
      </c>
      <c r="R41" s="14">
        <v>42</v>
      </c>
    </row>
    <row r="42" spans="1:18" ht="15">
      <c r="A42" s="40" t="s">
        <v>75</v>
      </c>
      <c r="B42" s="68" t="s">
        <v>76</v>
      </c>
      <c r="C42" s="67">
        <v>4.57278806430645</v>
      </c>
      <c r="D42" s="67">
        <v>4.529237701789246</v>
      </c>
      <c r="E42" s="67">
        <v>4.471170551766306</v>
      </c>
      <c r="F42" s="67">
        <v>4.413103401743368</v>
      </c>
      <c r="G42" s="67">
        <v>4.355036251720429</v>
      </c>
      <c r="H42" s="67">
        <v>4.296969101697489</v>
      </c>
      <c r="I42" s="67">
        <v>4.238901951674551</v>
      </c>
      <c r="J42" s="67">
        <v>4.180834801651612</v>
      </c>
      <c r="K42" s="67">
        <v>4.122767651628672</v>
      </c>
      <c r="L42" s="67">
        <v>4.064700501605733</v>
      </c>
      <c r="M42" s="67">
        <v>4.006633351582794</v>
      </c>
      <c r="N42" s="67">
        <v>3.9485662015598555</v>
      </c>
      <c r="O42" s="67">
        <v>3.8904990515369167</v>
      </c>
      <c r="P42" s="67">
        <v>3.8324319015139774</v>
      </c>
      <c r="Q42" s="67">
        <v>3.774364751491038</v>
      </c>
      <c r="R42" s="67">
        <v>3.716297601468099</v>
      </c>
    </row>
    <row r="43" spans="2:18" ht="15" customHeight="1">
      <c r="B43" s="68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 ht="15" customHeight="1">
      <c r="B44" s="71" t="s">
        <v>55</v>
      </c>
      <c r="C44" s="9">
        <v>4.71</v>
      </c>
      <c r="D44" s="9">
        <v>4.63</v>
      </c>
      <c r="E44" s="9">
        <v>4.57</v>
      </c>
      <c r="F44" s="9">
        <v>4.51</v>
      </c>
      <c r="G44" s="9">
        <v>4.46</v>
      </c>
      <c r="H44" s="9">
        <v>4.4</v>
      </c>
      <c r="I44" s="9">
        <v>4.35</v>
      </c>
      <c r="J44" s="9">
        <v>4.29</v>
      </c>
      <c r="K44" s="9">
        <v>4.24</v>
      </c>
      <c r="L44" s="9">
        <v>4.18</v>
      </c>
      <c r="M44" s="9">
        <v>4.13</v>
      </c>
      <c r="N44" s="9">
        <v>4.08</v>
      </c>
      <c r="O44" s="9">
        <v>4.03</v>
      </c>
      <c r="P44" s="9">
        <v>3.98</v>
      </c>
      <c r="Q44" s="9">
        <v>3.93</v>
      </c>
      <c r="R44" s="9">
        <v>3.89</v>
      </c>
    </row>
    <row r="45" spans="1:18" ht="15" customHeight="1">
      <c r="A45" s="9"/>
      <c r="B45" s="71"/>
      <c r="C45" s="35">
        <v>-0.13721193569354995</v>
      </c>
      <c r="D45" s="35">
        <v>-0.10076229821075433</v>
      </c>
      <c r="E45" s="35">
        <v>-0.098829448233694</v>
      </c>
      <c r="F45" s="35">
        <v>-0.09689659825663188</v>
      </c>
      <c r="G45" s="35">
        <v>-0.10496374827957133</v>
      </c>
      <c r="H45" s="35">
        <v>-0.103030898302511</v>
      </c>
      <c r="I45" s="35">
        <v>-0.11109804832544867</v>
      </c>
      <c r="J45" s="35">
        <v>-0.10916519834838834</v>
      </c>
      <c r="K45" s="35">
        <v>-0.11723234837132779</v>
      </c>
      <c r="L45" s="35">
        <v>-0.11529949839426656</v>
      </c>
      <c r="M45" s="35">
        <v>-0.12336664841720602</v>
      </c>
      <c r="N45" s="35">
        <v>-0.13143379844014458</v>
      </c>
      <c r="O45" s="35">
        <v>-0.13950094846308358</v>
      </c>
      <c r="P45" s="35">
        <v>-0.1475680984860226</v>
      </c>
      <c r="Q45" s="35">
        <v>-0.15563524850896204</v>
      </c>
      <c r="R45" s="35">
        <v>-0.17370239853190128</v>
      </c>
    </row>
    <row r="46" spans="2:18" ht="15" customHeight="1">
      <c r="B46" s="11" t="s">
        <v>31</v>
      </c>
      <c r="C46" s="34">
        <v>47.61904761904762</v>
      </c>
      <c r="D46" s="34">
        <v>57.142857142857146</v>
      </c>
      <c r="E46" s="34">
        <v>66.66666666666667</v>
      </c>
      <c r="F46" s="34">
        <v>76.19047619047619</v>
      </c>
      <c r="G46" s="34">
        <v>85.71428571428571</v>
      </c>
      <c r="H46" s="34">
        <v>95.23809523809524</v>
      </c>
      <c r="I46" s="34">
        <v>104.76190476190476</v>
      </c>
      <c r="J46" s="34">
        <v>114.28571428571429</v>
      </c>
      <c r="K46" s="34">
        <v>123.80952380952381</v>
      </c>
      <c r="L46" s="34">
        <v>133.33333333333334</v>
      </c>
      <c r="M46" s="34">
        <v>142.85714285714286</v>
      </c>
      <c r="N46" s="34">
        <v>152.38095238095238</v>
      </c>
      <c r="O46" s="34">
        <v>161.9047619047619</v>
      </c>
      <c r="P46" s="34">
        <v>171.42857142857142</v>
      </c>
      <c r="Q46" s="34">
        <v>180.95238095238096</v>
      </c>
      <c r="R46" s="34">
        <v>190.47619047619048</v>
      </c>
    </row>
    <row r="47" spans="2:18" ht="15">
      <c r="B47" s="11" t="s">
        <v>64</v>
      </c>
      <c r="C47" s="35">
        <v>1</v>
      </c>
      <c r="D47" s="35">
        <v>0.9904761904761905</v>
      </c>
      <c r="E47" s="35">
        <v>0.9777777777777777</v>
      </c>
      <c r="F47" s="35">
        <v>0.9650793650793651</v>
      </c>
      <c r="G47" s="35">
        <v>0.9523809523809524</v>
      </c>
      <c r="H47" s="35">
        <v>0.9396825396825397</v>
      </c>
      <c r="I47" s="35">
        <v>0.926984126984127</v>
      </c>
      <c r="J47" s="35">
        <v>0.9142857142857143</v>
      </c>
      <c r="K47" s="35">
        <v>0.9015873015873016</v>
      </c>
      <c r="L47" s="35">
        <v>0.8888888888888888</v>
      </c>
      <c r="M47" s="35">
        <v>0.8761904761904762</v>
      </c>
      <c r="N47" s="35">
        <v>0.8634920634920635</v>
      </c>
      <c r="O47" s="35">
        <v>0.8507936507936509</v>
      </c>
      <c r="P47" s="35">
        <v>0.8380952380952381</v>
      </c>
      <c r="Q47" s="35">
        <v>0.8253968253968254</v>
      </c>
      <c r="R47" s="35">
        <v>0.8126984126984127</v>
      </c>
    </row>
    <row r="48" spans="1:18" ht="15">
      <c r="A48" s="47" t="s">
        <v>65</v>
      </c>
      <c r="B48" s="9">
        <v>250</v>
      </c>
      <c r="C48" s="12">
        <v>183</v>
      </c>
      <c r="D48" s="12">
        <v>182</v>
      </c>
      <c r="E48" s="12">
        <v>179</v>
      </c>
      <c r="F48" s="12">
        <v>177</v>
      </c>
      <c r="G48" s="12">
        <v>175</v>
      </c>
      <c r="H48" s="12">
        <v>172</v>
      </c>
      <c r="I48" s="12">
        <v>170</v>
      </c>
      <c r="J48" s="12">
        <v>168</v>
      </c>
      <c r="K48" s="12">
        <v>165</v>
      </c>
      <c r="L48" s="12">
        <v>163</v>
      </c>
      <c r="M48" s="12">
        <v>161</v>
      </c>
      <c r="N48" s="12">
        <v>158</v>
      </c>
      <c r="O48" s="12">
        <v>156</v>
      </c>
      <c r="P48" s="12">
        <v>154</v>
      </c>
      <c r="Q48" s="12">
        <v>151</v>
      </c>
      <c r="R48" s="12">
        <v>149</v>
      </c>
    </row>
    <row r="49" spans="1:18" ht="15">
      <c r="A49" s="47">
        <v>16200</v>
      </c>
      <c r="B49" s="9">
        <v>300</v>
      </c>
      <c r="C49" s="12">
        <v>153</v>
      </c>
      <c r="D49" s="12">
        <v>151</v>
      </c>
      <c r="E49" s="12">
        <v>150</v>
      </c>
      <c r="F49" s="12">
        <v>148</v>
      </c>
      <c r="G49" s="12">
        <v>146</v>
      </c>
      <c r="H49" s="12">
        <v>144</v>
      </c>
      <c r="I49" s="12">
        <v>142</v>
      </c>
      <c r="J49" s="12">
        <v>140</v>
      </c>
      <c r="K49" s="12">
        <v>138</v>
      </c>
      <c r="L49" s="12">
        <v>136</v>
      </c>
      <c r="M49" s="12">
        <v>134</v>
      </c>
      <c r="N49" s="12">
        <v>132</v>
      </c>
      <c r="O49" s="12">
        <v>130</v>
      </c>
      <c r="P49" s="12">
        <v>128</v>
      </c>
      <c r="Q49" s="12">
        <v>126</v>
      </c>
      <c r="R49" s="12">
        <v>124</v>
      </c>
    </row>
    <row r="50" spans="1:18" ht="15">
      <c r="A50" s="47" t="s">
        <v>61</v>
      </c>
      <c r="B50" s="9">
        <v>350</v>
      </c>
      <c r="C50" s="12">
        <v>131</v>
      </c>
      <c r="D50" s="12">
        <v>130</v>
      </c>
      <c r="E50" s="12">
        <v>128</v>
      </c>
      <c r="F50" s="12">
        <v>127</v>
      </c>
      <c r="G50" s="12">
        <v>125</v>
      </c>
      <c r="H50" s="12">
        <v>123</v>
      </c>
      <c r="I50" s="12">
        <v>122</v>
      </c>
      <c r="J50" s="12">
        <v>120</v>
      </c>
      <c r="K50" s="12">
        <v>118</v>
      </c>
      <c r="L50" s="12">
        <v>117</v>
      </c>
      <c r="M50" s="12">
        <v>115</v>
      </c>
      <c r="N50" s="12">
        <v>113</v>
      </c>
      <c r="O50" s="12">
        <v>112</v>
      </c>
      <c r="P50" s="12">
        <v>110</v>
      </c>
      <c r="Q50" s="12">
        <v>108</v>
      </c>
      <c r="R50" s="12">
        <v>107</v>
      </c>
    </row>
    <row r="51" spans="1:18" ht="15">
      <c r="A51" s="48">
        <v>105</v>
      </c>
      <c r="B51" s="13">
        <v>400</v>
      </c>
      <c r="C51" s="14">
        <v>115</v>
      </c>
      <c r="D51" s="14">
        <v>114</v>
      </c>
      <c r="E51" s="14">
        <v>112</v>
      </c>
      <c r="F51" s="14">
        <v>111</v>
      </c>
      <c r="G51" s="14">
        <v>109</v>
      </c>
      <c r="H51" s="14">
        <v>108</v>
      </c>
      <c r="I51" s="14">
        <v>106</v>
      </c>
      <c r="J51" s="14">
        <v>105</v>
      </c>
      <c r="K51" s="14">
        <v>104</v>
      </c>
      <c r="L51" s="14">
        <v>102</v>
      </c>
      <c r="M51" s="14">
        <v>101</v>
      </c>
      <c r="N51" s="14">
        <v>99</v>
      </c>
      <c r="O51" s="14">
        <v>98</v>
      </c>
      <c r="P51" s="14">
        <v>96</v>
      </c>
      <c r="Q51" s="14">
        <v>95</v>
      </c>
      <c r="R51" s="14">
        <v>93</v>
      </c>
    </row>
    <row r="53" ht="18.75">
      <c r="A53" s="38" t="s">
        <v>70</v>
      </c>
    </row>
    <row r="55" spans="1:4" ht="15">
      <c r="A55" s="44" t="s">
        <v>71</v>
      </c>
      <c r="B55" s="6"/>
      <c r="C55" s="7"/>
      <c r="D55" s="45"/>
    </row>
    <row r="56" spans="1:4" ht="15">
      <c r="A56" s="9" t="s">
        <v>66</v>
      </c>
      <c r="B56" s="9" t="s">
        <v>67</v>
      </c>
      <c r="C56" s="9" t="s">
        <v>12</v>
      </c>
      <c r="D56" s="9" t="s">
        <v>68</v>
      </c>
    </row>
    <row r="57" spans="1:4" ht="15">
      <c r="A57" s="13" t="s">
        <v>3</v>
      </c>
      <c r="B57" s="13" t="s">
        <v>3</v>
      </c>
      <c r="C57" s="13" t="s">
        <v>69</v>
      </c>
      <c r="D57" s="13" t="s">
        <v>63</v>
      </c>
    </row>
    <row r="58" spans="1:4" ht="15">
      <c r="A58" s="10" t="s">
        <v>4</v>
      </c>
      <c r="B58" s="10" t="s">
        <v>4</v>
      </c>
      <c r="C58" s="9"/>
      <c r="D58" s="11"/>
    </row>
    <row r="59" spans="1:4" ht="15">
      <c r="A59" s="9">
        <v>75</v>
      </c>
      <c r="B59" s="12">
        <v>74.85</v>
      </c>
      <c r="C59" s="12">
        <v>4400.21088189288</v>
      </c>
      <c r="D59" s="34">
        <v>4.9391405657680965</v>
      </c>
    </row>
    <row r="60" spans="1:4" ht="15">
      <c r="A60" s="9">
        <v>87</v>
      </c>
      <c r="B60" s="12">
        <v>86.67</v>
      </c>
      <c r="C60" s="12">
        <v>5899.666666072999</v>
      </c>
      <c r="D60" s="34">
        <v>7.302250008002958</v>
      </c>
    </row>
    <row r="61" spans="1:4" ht="15">
      <c r="A61" s="9">
        <v>100</v>
      </c>
      <c r="B61" s="12">
        <v>99.655</v>
      </c>
      <c r="C61" s="12">
        <v>7799.882642716458</v>
      </c>
      <c r="D61" s="34">
        <v>10.595891185056617</v>
      </c>
    </row>
    <row r="62" spans="1:4" ht="15">
      <c r="A62" s="9">
        <v>111</v>
      </c>
      <c r="B62" s="12">
        <v>111.13</v>
      </c>
      <c r="C62" s="12">
        <v>9699.570635444572</v>
      </c>
      <c r="D62" s="34">
        <v>14.169572422537449</v>
      </c>
    </row>
    <row r="63" spans="1:4" ht="15">
      <c r="A63" s="13">
        <v>120</v>
      </c>
      <c r="B63" s="14">
        <v>119.95</v>
      </c>
      <c r="C63" s="14">
        <v>11300.310738457894</v>
      </c>
      <c r="D63" s="46">
        <v>17.370297094228857</v>
      </c>
    </row>
    <row r="65" spans="1:10" ht="15">
      <c r="A65" s="17" t="s">
        <v>28</v>
      </c>
      <c r="C65" s="3"/>
      <c r="D65" s="3"/>
      <c r="E65" s="3"/>
      <c r="F65" s="3"/>
      <c r="G65" s="3"/>
      <c r="H65" s="3"/>
      <c r="I65" s="3"/>
      <c r="J65" s="3"/>
    </row>
    <row r="66" spans="1:10" ht="15">
      <c r="A66" s="18" t="s">
        <v>29</v>
      </c>
      <c r="C66" s="3"/>
      <c r="D66" s="3"/>
      <c r="E66" s="3"/>
      <c r="F66" s="3"/>
      <c r="G66" s="3"/>
      <c r="H66" s="3"/>
      <c r="I66" s="3"/>
      <c r="J66" s="3"/>
    </row>
    <row r="67" spans="1:20" ht="15">
      <c r="A67" t="s">
        <v>31</v>
      </c>
      <c r="B67" s="3">
        <v>50</v>
      </c>
      <c r="C67" s="3">
        <f>B67+25</f>
        <v>75</v>
      </c>
      <c r="D67" s="3">
        <f aca="true" t="shared" si="0" ref="D67:T67">C67+25</f>
        <v>100</v>
      </c>
      <c r="E67" s="3">
        <f t="shared" si="0"/>
        <v>125</v>
      </c>
      <c r="F67" s="3">
        <f t="shared" si="0"/>
        <v>150</v>
      </c>
      <c r="G67" s="3">
        <f t="shared" si="0"/>
        <v>175</v>
      </c>
      <c r="H67" s="3">
        <f t="shared" si="0"/>
        <v>200</v>
      </c>
      <c r="I67" s="3">
        <f t="shared" si="0"/>
        <v>225</v>
      </c>
      <c r="J67" s="3">
        <f t="shared" si="0"/>
        <v>250</v>
      </c>
      <c r="K67" s="3">
        <f t="shared" si="0"/>
        <v>275</v>
      </c>
      <c r="L67" s="3">
        <f t="shared" si="0"/>
        <v>300</v>
      </c>
      <c r="M67" s="3">
        <f t="shared" si="0"/>
        <v>325</v>
      </c>
      <c r="N67" s="3">
        <f t="shared" si="0"/>
        <v>350</v>
      </c>
      <c r="O67" s="3">
        <f t="shared" si="0"/>
        <v>375</v>
      </c>
      <c r="P67" s="3">
        <f t="shared" si="0"/>
        <v>400</v>
      </c>
      <c r="Q67" s="3">
        <f t="shared" si="0"/>
        <v>425</v>
      </c>
      <c r="R67" s="3">
        <f t="shared" si="0"/>
        <v>450</v>
      </c>
      <c r="S67" s="3">
        <f t="shared" si="0"/>
        <v>475</v>
      </c>
      <c r="T67" s="3">
        <f t="shared" si="0"/>
        <v>500</v>
      </c>
    </row>
    <row r="68" spans="1:21" ht="18">
      <c r="A68" t="s">
        <v>30</v>
      </c>
      <c r="B68" s="19">
        <v>1</v>
      </c>
      <c r="C68" s="19">
        <v>0.97</v>
      </c>
      <c r="D68" s="19">
        <v>0.93</v>
      </c>
      <c r="E68" s="19">
        <v>0.9</v>
      </c>
      <c r="F68" s="21">
        <v>0.86</v>
      </c>
      <c r="G68" s="19">
        <v>0.83</v>
      </c>
      <c r="H68" s="19">
        <v>0.8</v>
      </c>
      <c r="I68" s="19">
        <v>0.78</v>
      </c>
      <c r="J68" s="19">
        <v>0.77</v>
      </c>
      <c r="K68" s="19">
        <v>0.75</v>
      </c>
      <c r="L68" s="19">
        <v>0.73</v>
      </c>
      <c r="M68" s="19">
        <v>0.72</v>
      </c>
      <c r="N68" s="19">
        <v>0.7</v>
      </c>
      <c r="O68" s="19">
        <v>0.68</v>
      </c>
      <c r="P68" s="19">
        <v>0.67</v>
      </c>
      <c r="Q68" s="19">
        <v>0.65</v>
      </c>
      <c r="R68" s="19">
        <v>0.63</v>
      </c>
      <c r="S68" s="19">
        <v>0.62</v>
      </c>
      <c r="T68" s="19">
        <v>0.6</v>
      </c>
      <c r="U68" t="s">
        <v>47</v>
      </c>
    </row>
    <row r="69" spans="1:21" ht="18">
      <c r="A69" t="s">
        <v>45</v>
      </c>
      <c r="B69" s="51">
        <f>IF(B67&gt;=50,IF(B67&lt;=200,$C73*(B67-50)+1,$C75*(B67-200)+0.8),1)</f>
        <v>1</v>
      </c>
      <c r="C69" s="51">
        <f aca="true" t="shared" si="1" ref="C69:T69">IF(C67&gt;=50,IF(C67&lt;=200,$C73*(C67-50)+1,$C75*(C67-200)+0.8),1)</f>
        <v>0.9666666666666667</v>
      </c>
      <c r="D69" s="51">
        <f t="shared" si="1"/>
        <v>0.9333333333333333</v>
      </c>
      <c r="E69" s="51">
        <f t="shared" si="1"/>
        <v>0.9</v>
      </c>
      <c r="F69" s="51">
        <f t="shared" si="1"/>
        <v>0.8666666666666667</v>
      </c>
      <c r="G69" s="51">
        <f t="shared" si="1"/>
        <v>0.8333333333333334</v>
      </c>
      <c r="H69" s="51">
        <f t="shared" si="1"/>
        <v>0.8</v>
      </c>
      <c r="I69" s="51">
        <f t="shared" si="1"/>
        <v>0.7833333333333333</v>
      </c>
      <c r="J69" s="51">
        <f t="shared" si="1"/>
        <v>0.7666666666666667</v>
      </c>
      <c r="K69" s="51">
        <f t="shared" si="1"/>
        <v>0.75</v>
      </c>
      <c r="L69" s="51">
        <f t="shared" si="1"/>
        <v>0.7333333333333334</v>
      </c>
      <c r="M69" s="51">
        <f t="shared" si="1"/>
        <v>0.7166666666666667</v>
      </c>
      <c r="N69" s="51">
        <f t="shared" si="1"/>
        <v>0.7</v>
      </c>
      <c r="O69" s="51">
        <f t="shared" si="1"/>
        <v>0.6833333333333333</v>
      </c>
      <c r="P69" s="51">
        <f t="shared" si="1"/>
        <v>0.6666666666666667</v>
      </c>
      <c r="Q69" s="51">
        <f t="shared" si="1"/>
        <v>0.65</v>
      </c>
      <c r="R69" s="51">
        <f t="shared" si="1"/>
        <v>0.6333333333333333</v>
      </c>
      <c r="S69" s="51">
        <f t="shared" si="1"/>
        <v>0.6166666666666667</v>
      </c>
      <c r="T69" s="51">
        <f t="shared" si="1"/>
        <v>0.6</v>
      </c>
      <c r="U69" t="s">
        <v>48</v>
      </c>
    </row>
    <row r="70" spans="2:18" ht="15">
      <c r="B70" s="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6" ht="15">
      <c r="A71" s="17" t="s">
        <v>32</v>
      </c>
      <c r="F71" t="s">
        <v>33</v>
      </c>
    </row>
    <row r="72" ht="15">
      <c r="A72" s="73" t="s">
        <v>79</v>
      </c>
    </row>
    <row r="73" spans="1:5" ht="15">
      <c r="A73" s="74"/>
      <c r="B73" s="2" t="s">
        <v>35</v>
      </c>
      <c r="C73">
        <f>(H68-B68)/(H67-B67)</f>
        <v>-0.001333333333333333</v>
      </c>
      <c r="D73" s="20" t="s">
        <v>36</v>
      </c>
      <c r="E73" s="1">
        <v>1</v>
      </c>
    </row>
    <row r="74" ht="15">
      <c r="A74" s="73" t="s">
        <v>80</v>
      </c>
    </row>
    <row r="75" spans="1:5" ht="15">
      <c r="A75" s="74"/>
      <c r="B75" s="2" t="s">
        <v>35</v>
      </c>
      <c r="C75">
        <f>(T68-H68)/(T67-H67)</f>
        <v>-0.0006666666666666669</v>
      </c>
      <c r="D75" s="20" t="s">
        <v>36</v>
      </c>
      <c r="E75" s="1">
        <v>0.8</v>
      </c>
    </row>
    <row r="77" spans="1:18" ht="18.75">
      <c r="A77" s="38" t="s">
        <v>56</v>
      </c>
      <c r="B77" s="36"/>
      <c r="C77" s="36"/>
      <c r="D77" s="36"/>
      <c r="E77" s="36"/>
      <c r="F77" s="36"/>
      <c r="G77" s="36"/>
      <c r="H77" s="36"/>
      <c r="I77" s="36"/>
      <c r="J77" s="36"/>
      <c r="K77" s="36" t="s">
        <v>46</v>
      </c>
      <c r="L77" s="36"/>
      <c r="M77" s="36"/>
      <c r="N77" s="36"/>
      <c r="O77" s="36"/>
      <c r="P77" s="36"/>
      <c r="Q77" s="36"/>
      <c r="R77" s="36"/>
    </row>
    <row r="78" spans="1:18" ht="15">
      <c r="A78" s="31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20" ht="15">
      <c r="A79" s="75" t="s">
        <v>40</v>
      </c>
      <c r="B79" s="77"/>
      <c r="C79" s="49" t="s">
        <v>41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ht="15">
      <c r="A80" s="76"/>
      <c r="B80" s="78"/>
      <c r="C80" s="43">
        <v>3</v>
      </c>
      <c r="D80" s="43">
        <f>C80+1</f>
        <v>4</v>
      </c>
      <c r="E80" s="43">
        <f aca="true" t="shared" si="2" ref="E80:T80">D80+1</f>
        <v>5</v>
      </c>
      <c r="F80" s="43">
        <f t="shared" si="2"/>
        <v>6</v>
      </c>
      <c r="G80" s="43">
        <f t="shared" si="2"/>
        <v>7</v>
      </c>
      <c r="H80" s="43">
        <f t="shared" si="2"/>
        <v>8</v>
      </c>
      <c r="I80" s="43">
        <f t="shared" si="2"/>
        <v>9</v>
      </c>
      <c r="J80" s="43">
        <f t="shared" si="2"/>
        <v>10</v>
      </c>
      <c r="K80" s="43">
        <f t="shared" si="2"/>
        <v>11</v>
      </c>
      <c r="L80" s="43">
        <f t="shared" si="2"/>
        <v>12</v>
      </c>
      <c r="M80" s="43">
        <f t="shared" si="2"/>
        <v>13</v>
      </c>
      <c r="N80" s="43">
        <f t="shared" si="2"/>
        <v>14</v>
      </c>
      <c r="O80" s="43">
        <f t="shared" si="2"/>
        <v>15</v>
      </c>
      <c r="P80" s="43">
        <f t="shared" si="2"/>
        <v>16</v>
      </c>
      <c r="Q80" s="43">
        <f t="shared" si="2"/>
        <v>17</v>
      </c>
      <c r="R80" s="43">
        <f t="shared" si="2"/>
        <v>18</v>
      </c>
      <c r="S80" s="43">
        <f t="shared" si="2"/>
        <v>19</v>
      </c>
      <c r="T80" s="43">
        <f t="shared" si="2"/>
        <v>20</v>
      </c>
    </row>
    <row r="81" spans="1:20" ht="15">
      <c r="A81" s="37" t="s">
        <v>57</v>
      </c>
      <c r="B81" s="68" t="s">
        <v>42</v>
      </c>
      <c r="C81" s="67">
        <f>0.9*2.78*10^-5*$A88^1.25*C86</f>
        <v>0.8147758652334287</v>
      </c>
      <c r="D81" s="67">
        <f>0.9*2.78*10^-5*$A88^1.25*D86</f>
        <v>0.7945078088843384</v>
      </c>
      <c r="E81" s="67">
        <f>0.9*2.78*10^-5*$A88^1.25*E86</f>
        <v>0.7742397525352481</v>
      </c>
      <c r="F81" s="67">
        <f aca="true" t="shared" si="3" ref="F81:T81">0.9*2.78*10^-5*$A88^1.25*F86</f>
        <v>0.7539716961861579</v>
      </c>
      <c r="G81" s="67">
        <f t="shared" si="3"/>
        <v>0.7337036398370677</v>
      </c>
      <c r="H81" s="67">
        <f t="shared" si="3"/>
        <v>0.7134355834879773</v>
      </c>
      <c r="I81" s="67">
        <f t="shared" si="3"/>
        <v>0.6931675271388872</v>
      </c>
      <c r="J81" s="67">
        <f t="shared" si="3"/>
        <v>0.6728994707897968</v>
      </c>
      <c r="K81" s="67">
        <f t="shared" si="3"/>
        <v>0.6546582200756157</v>
      </c>
      <c r="L81" s="67">
        <f t="shared" si="3"/>
        <v>0.6445241919010705</v>
      </c>
      <c r="M81" s="67">
        <f t="shared" si="3"/>
        <v>0.6343901637265253</v>
      </c>
      <c r="N81" s="67">
        <f t="shared" si="3"/>
        <v>0.6242561355519802</v>
      </c>
      <c r="O81" s="67">
        <f t="shared" si="3"/>
        <v>0.6141221073774351</v>
      </c>
      <c r="P81" s="67">
        <f t="shared" si="3"/>
        <v>0.6039880792028899</v>
      </c>
      <c r="Q81" s="67">
        <f t="shared" si="3"/>
        <v>0.5938540510283448</v>
      </c>
      <c r="R81" s="67">
        <f t="shared" si="3"/>
        <v>0.5837200228537996</v>
      </c>
      <c r="S81" s="67">
        <f t="shared" si="3"/>
        <v>0.5735859946792545</v>
      </c>
      <c r="T81" s="67">
        <f t="shared" si="3"/>
        <v>0.5634519665047094</v>
      </c>
    </row>
    <row r="82" spans="2:20" ht="15">
      <c r="B82" s="68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 ht="15" customHeight="1">
      <c r="B83" s="71" t="s">
        <v>55</v>
      </c>
      <c r="C83" s="9">
        <v>1.07</v>
      </c>
      <c r="D83" s="9">
        <v>1.07</v>
      </c>
      <c r="E83" s="9">
        <v>1.07</v>
      </c>
      <c r="F83" s="9">
        <v>1.05</v>
      </c>
      <c r="G83" s="9">
        <v>1.02</v>
      </c>
      <c r="H83" s="9">
        <v>1</v>
      </c>
      <c r="I83" s="9">
        <v>0.98</v>
      </c>
      <c r="J83" s="9">
        <v>0.96</v>
      </c>
      <c r="K83" s="9">
        <v>0.94</v>
      </c>
      <c r="L83" s="9">
        <v>0.92</v>
      </c>
      <c r="M83" s="9">
        <v>0.9</v>
      </c>
      <c r="N83" s="9">
        <v>0.88</v>
      </c>
      <c r="O83" s="9">
        <v>0.86</v>
      </c>
      <c r="P83" s="9">
        <v>0.85</v>
      </c>
      <c r="Q83" s="9">
        <v>0.83</v>
      </c>
      <c r="R83" s="9">
        <v>0.81</v>
      </c>
      <c r="S83" s="9">
        <v>0.8</v>
      </c>
      <c r="T83" s="9">
        <v>0.78</v>
      </c>
    </row>
    <row r="84" spans="1:20" ht="15" customHeight="1">
      <c r="A84" s="9"/>
      <c r="B84" s="71"/>
      <c r="C84" s="35">
        <f>C81-C83</f>
        <v>-0.25522413476657135</v>
      </c>
      <c r="D84" s="35">
        <f>D81-D83</f>
        <v>-0.2754921911156617</v>
      </c>
      <c r="E84" s="35">
        <f>E81-E83</f>
        <v>-0.29576024746475194</v>
      </c>
      <c r="F84" s="35">
        <f aca="true" t="shared" si="4" ref="F84:T84">F81-F83</f>
        <v>-0.29602830381384215</v>
      </c>
      <c r="G84" s="35">
        <f t="shared" si="4"/>
        <v>-0.28629636016293236</v>
      </c>
      <c r="H84" s="35">
        <f t="shared" si="4"/>
        <v>-0.2865644165120227</v>
      </c>
      <c r="I84" s="35">
        <f t="shared" si="4"/>
        <v>-0.2868324728611128</v>
      </c>
      <c r="J84" s="35">
        <f t="shared" si="4"/>
        <v>-0.2871005292102031</v>
      </c>
      <c r="K84" s="35">
        <f t="shared" si="4"/>
        <v>-0.28534177992438425</v>
      </c>
      <c r="L84" s="35">
        <f t="shared" si="4"/>
        <v>-0.2754758080989296</v>
      </c>
      <c r="M84" s="35">
        <f t="shared" si="4"/>
        <v>-0.2656098362734747</v>
      </c>
      <c r="N84" s="35">
        <f t="shared" si="4"/>
        <v>-0.2557438644480198</v>
      </c>
      <c r="O84" s="35">
        <f t="shared" si="4"/>
        <v>-0.24587789262256488</v>
      </c>
      <c r="P84" s="35">
        <f t="shared" si="4"/>
        <v>-0.2460119207971101</v>
      </c>
      <c r="Q84" s="35">
        <f t="shared" si="4"/>
        <v>-0.2361459489716552</v>
      </c>
      <c r="R84" s="35">
        <f t="shared" si="4"/>
        <v>-0.2262799771462004</v>
      </c>
      <c r="S84" s="35">
        <f t="shared" si="4"/>
        <v>-0.22641400532074551</v>
      </c>
      <c r="T84" s="35">
        <f t="shared" si="4"/>
        <v>-0.21654803349529061</v>
      </c>
    </row>
    <row r="85" spans="2:20" ht="15" customHeight="1">
      <c r="B85" s="11" t="s">
        <v>31</v>
      </c>
      <c r="C85" s="34">
        <f aca="true" t="shared" si="5" ref="C85:T85">C$80*1000/$A90</f>
        <v>55.55555555555556</v>
      </c>
      <c r="D85" s="34">
        <f t="shared" si="5"/>
        <v>74.07407407407408</v>
      </c>
      <c r="E85" s="34">
        <f t="shared" si="5"/>
        <v>92.5925925925926</v>
      </c>
      <c r="F85" s="34">
        <f t="shared" si="5"/>
        <v>111.11111111111111</v>
      </c>
      <c r="G85" s="34">
        <f t="shared" si="5"/>
        <v>129.62962962962962</v>
      </c>
      <c r="H85" s="34">
        <f t="shared" si="5"/>
        <v>148.14814814814815</v>
      </c>
      <c r="I85" s="34">
        <f t="shared" si="5"/>
        <v>166.66666666666666</v>
      </c>
      <c r="J85" s="34">
        <f t="shared" si="5"/>
        <v>185.1851851851852</v>
      </c>
      <c r="K85" s="34">
        <f t="shared" si="5"/>
        <v>203.7037037037037</v>
      </c>
      <c r="L85" s="34">
        <f t="shared" si="5"/>
        <v>222.22222222222223</v>
      </c>
      <c r="M85" s="34">
        <f t="shared" si="5"/>
        <v>240.74074074074073</v>
      </c>
      <c r="N85" s="34">
        <f t="shared" si="5"/>
        <v>259.25925925925924</v>
      </c>
      <c r="O85" s="34">
        <f t="shared" si="5"/>
        <v>277.77777777777777</v>
      </c>
      <c r="P85" s="34">
        <f t="shared" si="5"/>
        <v>296.2962962962963</v>
      </c>
      <c r="Q85" s="34">
        <f t="shared" si="5"/>
        <v>314.81481481481484</v>
      </c>
      <c r="R85" s="34">
        <f t="shared" si="5"/>
        <v>333.3333333333333</v>
      </c>
      <c r="S85" s="34">
        <f t="shared" si="5"/>
        <v>351.85185185185185</v>
      </c>
      <c r="T85" s="34">
        <f t="shared" si="5"/>
        <v>370.3703703703704</v>
      </c>
    </row>
    <row r="86" spans="2:20" ht="18" customHeight="1">
      <c r="B86" s="11" t="s">
        <v>30</v>
      </c>
      <c r="C86" s="35">
        <f>IF(C85&gt;=50,IF(C85&lt;=200,$C$73*(C85-$B$67)+1,$C$75*(C85-$H$67)+0.8),1)</f>
        <v>0.9925925925925926</v>
      </c>
      <c r="D86" s="35">
        <f>IF(D85&gt;=50,IF(D85&lt;=200,$C$73*(D85-$B$67)+1,$C$75*(D85-$H$67)+0.8),1)</f>
        <v>0.9679012345679012</v>
      </c>
      <c r="E86" s="35">
        <f>IF(E85&gt;=50,IF(E85&lt;=200,$C$73*(E85-$B$67)+1,$C$75*(E85-$H$67)+0.8),1)</f>
        <v>0.9432098765432099</v>
      </c>
      <c r="F86" s="35">
        <f aca="true" t="shared" si="6" ref="F86:T86">IF(F85&gt;=50,IF(F85&lt;=200,$C$73*(F85-$B$67)+1,$C$75*(F85-$H$67)+0.8),1)</f>
        <v>0.9185185185185185</v>
      </c>
      <c r="G86" s="35">
        <f t="shared" si="6"/>
        <v>0.8938271604938272</v>
      </c>
      <c r="H86" s="35">
        <f t="shared" si="6"/>
        <v>0.8691358024691358</v>
      </c>
      <c r="I86" s="35">
        <f t="shared" si="6"/>
        <v>0.8444444444444446</v>
      </c>
      <c r="J86" s="35">
        <f t="shared" si="6"/>
        <v>0.8197530864197531</v>
      </c>
      <c r="K86" s="35">
        <f t="shared" si="6"/>
        <v>0.7975308641975309</v>
      </c>
      <c r="L86" s="35">
        <f t="shared" si="6"/>
        <v>0.7851851851851852</v>
      </c>
      <c r="M86" s="35">
        <f t="shared" si="6"/>
        <v>0.7728395061728396</v>
      </c>
      <c r="N86" s="35">
        <f t="shared" si="6"/>
        <v>0.7604938271604939</v>
      </c>
      <c r="O86" s="35">
        <f t="shared" si="6"/>
        <v>0.7481481481481482</v>
      </c>
      <c r="P86" s="35">
        <f t="shared" si="6"/>
        <v>0.7358024691358025</v>
      </c>
      <c r="Q86" s="35">
        <f t="shared" si="6"/>
        <v>0.7234567901234568</v>
      </c>
      <c r="R86" s="35">
        <f t="shared" si="6"/>
        <v>0.7111111111111111</v>
      </c>
      <c r="S86" s="35">
        <f t="shared" si="6"/>
        <v>0.6987654320987654</v>
      </c>
      <c r="T86" s="35">
        <f t="shared" si="6"/>
        <v>0.6864197530864198</v>
      </c>
    </row>
    <row r="87" spans="1:20" ht="17.25">
      <c r="A87" s="9" t="s">
        <v>60</v>
      </c>
      <c r="B87" s="9">
        <v>250</v>
      </c>
      <c r="C87" s="12">
        <f aca="true" t="shared" si="7" ref="C87:T87">ROUNDUP(C81*100^2/$B87,0)</f>
        <v>33</v>
      </c>
      <c r="D87" s="12">
        <f t="shared" si="7"/>
        <v>32</v>
      </c>
      <c r="E87" s="12">
        <f t="shared" si="7"/>
        <v>31</v>
      </c>
      <c r="F87" s="12">
        <f t="shared" si="7"/>
        <v>31</v>
      </c>
      <c r="G87" s="12">
        <f t="shared" si="7"/>
        <v>30</v>
      </c>
      <c r="H87" s="12">
        <f t="shared" si="7"/>
        <v>29</v>
      </c>
      <c r="I87" s="12">
        <f t="shared" si="7"/>
        <v>28</v>
      </c>
      <c r="J87" s="12">
        <f t="shared" si="7"/>
        <v>27</v>
      </c>
      <c r="K87" s="12">
        <f t="shared" si="7"/>
        <v>27</v>
      </c>
      <c r="L87" s="12">
        <f t="shared" si="7"/>
        <v>26</v>
      </c>
      <c r="M87" s="12">
        <f t="shared" si="7"/>
        <v>26</v>
      </c>
      <c r="N87" s="12">
        <f t="shared" si="7"/>
        <v>25</v>
      </c>
      <c r="O87" s="12">
        <f t="shared" si="7"/>
        <v>25</v>
      </c>
      <c r="P87" s="12">
        <f t="shared" si="7"/>
        <v>25</v>
      </c>
      <c r="Q87" s="12">
        <f t="shared" si="7"/>
        <v>24</v>
      </c>
      <c r="R87" s="12">
        <f t="shared" si="7"/>
        <v>24</v>
      </c>
      <c r="S87" s="12">
        <f t="shared" si="7"/>
        <v>23</v>
      </c>
      <c r="T87" s="12">
        <f t="shared" si="7"/>
        <v>23</v>
      </c>
    </row>
    <row r="88" spans="1:20" ht="15">
      <c r="A88" s="9">
        <v>4100</v>
      </c>
      <c r="B88" s="9">
        <v>300</v>
      </c>
      <c r="C88" s="12">
        <f aca="true" t="shared" si="8" ref="C88:T88">ROUNDUP(C81*100^2/$B88,0)</f>
        <v>28</v>
      </c>
      <c r="D88" s="12">
        <f t="shared" si="8"/>
        <v>27</v>
      </c>
      <c r="E88" s="12">
        <f t="shared" si="8"/>
        <v>26</v>
      </c>
      <c r="F88" s="12">
        <f t="shared" si="8"/>
        <v>26</v>
      </c>
      <c r="G88" s="12">
        <f t="shared" si="8"/>
        <v>25</v>
      </c>
      <c r="H88" s="12">
        <f t="shared" si="8"/>
        <v>24</v>
      </c>
      <c r="I88" s="12">
        <f t="shared" si="8"/>
        <v>24</v>
      </c>
      <c r="J88" s="12">
        <f t="shared" si="8"/>
        <v>23</v>
      </c>
      <c r="K88" s="12">
        <f t="shared" si="8"/>
        <v>22</v>
      </c>
      <c r="L88" s="12">
        <f t="shared" si="8"/>
        <v>22</v>
      </c>
      <c r="M88" s="12">
        <f t="shared" si="8"/>
        <v>22</v>
      </c>
      <c r="N88" s="12">
        <f t="shared" si="8"/>
        <v>21</v>
      </c>
      <c r="O88" s="12">
        <f t="shared" si="8"/>
        <v>21</v>
      </c>
      <c r="P88" s="12">
        <f t="shared" si="8"/>
        <v>21</v>
      </c>
      <c r="Q88" s="12">
        <f t="shared" si="8"/>
        <v>20</v>
      </c>
      <c r="R88" s="12">
        <f t="shared" si="8"/>
        <v>20</v>
      </c>
      <c r="S88" s="12">
        <f t="shared" si="8"/>
        <v>20</v>
      </c>
      <c r="T88" s="12">
        <f t="shared" si="8"/>
        <v>19</v>
      </c>
    </row>
    <row r="89" spans="1:20" ht="15">
      <c r="A89" s="9" t="s">
        <v>61</v>
      </c>
      <c r="B89" s="9">
        <v>350</v>
      </c>
      <c r="C89" s="12">
        <f aca="true" t="shared" si="9" ref="C89:T89">ROUNDUP(C81*100^2/$B89,0)</f>
        <v>24</v>
      </c>
      <c r="D89" s="12">
        <f t="shared" si="9"/>
        <v>23</v>
      </c>
      <c r="E89" s="12">
        <f t="shared" si="9"/>
        <v>23</v>
      </c>
      <c r="F89" s="12">
        <f t="shared" si="9"/>
        <v>22</v>
      </c>
      <c r="G89" s="12">
        <f t="shared" si="9"/>
        <v>21</v>
      </c>
      <c r="H89" s="12">
        <f t="shared" si="9"/>
        <v>21</v>
      </c>
      <c r="I89" s="12">
        <f t="shared" si="9"/>
        <v>20</v>
      </c>
      <c r="J89" s="12">
        <f t="shared" si="9"/>
        <v>20</v>
      </c>
      <c r="K89" s="12">
        <f t="shared" si="9"/>
        <v>19</v>
      </c>
      <c r="L89" s="12">
        <f t="shared" si="9"/>
        <v>19</v>
      </c>
      <c r="M89" s="12">
        <f t="shared" si="9"/>
        <v>19</v>
      </c>
      <c r="N89" s="12">
        <f t="shared" si="9"/>
        <v>18</v>
      </c>
      <c r="O89" s="12">
        <f t="shared" si="9"/>
        <v>18</v>
      </c>
      <c r="P89" s="12">
        <f t="shared" si="9"/>
        <v>18</v>
      </c>
      <c r="Q89" s="12">
        <f t="shared" si="9"/>
        <v>17</v>
      </c>
      <c r="R89" s="12">
        <f t="shared" si="9"/>
        <v>17</v>
      </c>
      <c r="S89" s="12">
        <f t="shared" si="9"/>
        <v>17</v>
      </c>
      <c r="T89" s="12">
        <f t="shared" si="9"/>
        <v>17</v>
      </c>
    </row>
    <row r="90" spans="1:20" ht="15">
      <c r="A90" s="9">
        <v>54</v>
      </c>
      <c r="B90" s="13">
        <v>400</v>
      </c>
      <c r="C90" s="14">
        <f aca="true" t="shared" si="10" ref="C90:T90">ROUNDUP(C81*100^2/$B90,0)</f>
        <v>21</v>
      </c>
      <c r="D90" s="14">
        <f t="shared" si="10"/>
        <v>20</v>
      </c>
      <c r="E90" s="14">
        <f t="shared" si="10"/>
        <v>20</v>
      </c>
      <c r="F90" s="14">
        <f t="shared" si="10"/>
        <v>19</v>
      </c>
      <c r="G90" s="14">
        <f t="shared" si="10"/>
        <v>19</v>
      </c>
      <c r="H90" s="14">
        <f t="shared" si="10"/>
        <v>18</v>
      </c>
      <c r="I90" s="14">
        <f t="shared" si="10"/>
        <v>18</v>
      </c>
      <c r="J90" s="14">
        <f t="shared" si="10"/>
        <v>17</v>
      </c>
      <c r="K90" s="14">
        <f t="shared" si="10"/>
        <v>17</v>
      </c>
      <c r="L90" s="14">
        <f t="shared" si="10"/>
        <v>17</v>
      </c>
      <c r="M90" s="14">
        <f t="shared" si="10"/>
        <v>16</v>
      </c>
      <c r="N90" s="14">
        <f t="shared" si="10"/>
        <v>16</v>
      </c>
      <c r="O90" s="14">
        <f t="shared" si="10"/>
        <v>16</v>
      </c>
      <c r="P90" s="14">
        <f t="shared" si="10"/>
        <v>16</v>
      </c>
      <c r="Q90" s="14">
        <f t="shared" si="10"/>
        <v>15</v>
      </c>
      <c r="R90" s="14">
        <f t="shared" si="10"/>
        <v>15</v>
      </c>
      <c r="S90" s="14">
        <f t="shared" si="10"/>
        <v>15</v>
      </c>
      <c r="T90" s="14">
        <f t="shared" si="10"/>
        <v>15</v>
      </c>
    </row>
    <row r="91" spans="1:20" ht="15">
      <c r="A91" s="40" t="s">
        <v>58</v>
      </c>
      <c r="B91" s="68" t="s">
        <v>42</v>
      </c>
      <c r="C91" s="67">
        <f>0.9*2.78*10^-5*$A98^1.25*C96</f>
        <v>1.1850608945825893</v>
      </c>
      <c r="D91" s="67">
        <f>0.9*2.78*10^-5*$A98^1.25*D96</f>
        <v>1.1621242321067973</v>
      </c>
      <c r="E91" s="67">
        <f>0.9*2.78*10^-5*$A98^1.25*E96</f>
        <v>1.1366390515781395</v>
      </c>
      <c r="F91" s="67">
        <f aca="true" t="shared" si="11" ref="F91:T91">0.9*2.78*10^-5*$A98^1.25*F96</f>
        <v>1.1111538710494817</v>
      </c>
      <c r="G91" s="67">
        <f t="shared" si="11"/>
        <v>1.0856686905208237</v>
      </c>
      <c r="H91" s="67">
        <f t="shared" si="11"/>
        <v>1.060183509992166</v>
      </c>
      <c r="I91" s="67">
        <f t="shared" si="11"/>
        <v>1.0346983294635081</v>
      </c>
      <c r="J91" s="67">
        <f t="shared" si="11"/>
        <v>1.0092131489348504</v>
      </c>
      <c r="K91" s="67">
        <f t="shared" si="11"/>
        <v>0.9837279684061926</v>
      </c>
      <c r="L91" s="67">
        <f t="shared" si="11"/>
        <v>0.9582427878775346</v>
      </c>
      <c r="M91" s="67">
        <f t="shared" si="11"/>
        <v>0.9404031615074742</v>
      </c>
      <c r="N91" s="67">
        <f t="shared" si="11"/>
        <v>0.9276605712431453</v>
      </c>
      <c r="O91" s="67">
        <f t="shared" si="11"/>
        <v>0.9149179809788164</v>
      </c>
      <c r="P91" s="67">
        <f t="shared" si="11"/>
        <v>0.9021753907144875</v>
      </c>
      <c r="Q91" s="67">
        <f t="shared" si="11"/>
        <v>0.8894328004501585</v>
      </c>
      <c r="R91" s="67">
        <f t="shared" si="11"/>
        <v>0.8766902101858296</v>
      </c>
      <c r="S91" s="67">
        <f t="shared" si="11"/>
        <v>0.8639476199215006</v>
      </c>
      <c r="T91" s="67">
        <f t="shared" si="11"/>
        <v>0.8512050296571717</v>
      </c>
    </row>
    <row r="92" spans="2:20" ht="15">
      <c r="B92" s="68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 ht="15" customHeight="1" hidden="1">
      <c r="B93" s="71" t="s">
        <v>55</v>
      </c>
      <c r="C93" s="9">
        <v>1.68</v>
      </c>
      <c r="D93" s="9">
        <v>1.68</v>
      </c>
      <c r="E93" s="9">
        <v>1.68</v>
      </c>
      <c r="F93" s="9">
        <v>1.65</v>
      </c>
      <c r="G93" s="9">
        <v>1.62</v>
      </c>
      <c r="H93" s="9">
        <v>1.59</v>
      </c>
      <c r="I93" s="9">
        <v>1.56</v>
      </c>
      <c r="J93" s="9">
        <v>1.53</v>
      </c>
      <c r="K93" s="9">
        <v>1.5</v>
      </c>
      <c r="L93" s="9">
        <v>1.48</v>
      </c>
      <c r="M93" s="9">
        <v>1.45</v>
      </c>
      <c r="N93" s="9">
        <v>1.42</v>
      </c>
      <c r="O93" s="9">
        <v>1.4</v>
      </c>
      <c r="P93" s="9">
        <v>1.37</v>
      </c>
      <c r="Q93" s="9">
        <v>1.35</v>
      </c>
      <c r="R93" s="9">
        <v>1.33</v>
      </c>
      <c r="S93" s="9">
        <v>1.3</v>
      </c>
      <c r="T93" s="9">
        <v>1.28</v>
      </c>
    </row>
    <row r="94" spans="1:20" ht="15" customHeight="1" hidden="1">
      <c r="A94" s="9"/>
      <c r="B94" s="71"/>
      <c r="C94" s="35">
        <f>C91-C93</f>
        <v>-0.4949391054174106</v>
      </c>
      <c r="D94" s="35">
        <f>D91-D93</f>
        <v>-0.5178757678932027</v>
      </c>
      <c r="E94" s="35">
        <f>E91-E93</f>
        <v>-0.5433609484218604</v>
      </c>
      <c r="F94" s="35">
        <f aca="true" t="shared" si="12" ref="F94:T94">F91-F93</f>
        <v>-0.5388461289505182</v>
      </c>
      <c r="G94" s="35">
        <f t="shared" si="12"/>
        <v>-0.5343313094791764</v>
      </c>
      <c r="H94" s="35">
        <f t="shared" si="12"/>
        <v>-0.5298164900078342</v>
      </c>
      <c r="I94" s="35">
        <f t="shared" si="12"/>
        <v>-0.5253016705364919</v>
      </c>
      <c r="J94" s="35">
        <f t="shared" si="12"/>
        <v>-0.5207868510651497</v>
      </c>
      <c r="K94" s="35">
        <f t="shared" si="12"/>
        <v>-0.5162720315938074</v>
      </c>
      <c r="L94" s="35">
        <f t="shared" si="12"/>
        <v>-0.5217572121224654</v>
      </c>
      <c r="M94" s="35">
        <f t="shared" si="12"/>
        <v>-0.5095968384925258</v>
      </c>
      <c r="N94" s="35">
        <f t="shared" si="12"/>
        <v>-0.49233942875685466</v>
      </c>
      <c r="O94" s="35">
        <f t="shared" si="12"/>
        <v>-0.48508201902118353</v>
      </c>
      <c r="P94" s="35">
        <f t="shared" si="12"/>
        <v>-0.4678246092855126</v>
      </c>
      <c r="Q94" s="35">
        <f t="shared" si="12"/>
        <v>-0.4605671995498416</v>
      </c>
      <c r="R94" s="35">
        <f t="shared" si="12"/>
        <v>-0.45330978981417047</v>
      </c>
      <c r="S94" s="35">
        <f t="shared" si="12"/>
        <v>-0.43605238007849945</v>
      </c>
      <c r="T94" s="35">
        <f t="shared" si="12"/>
        <v>-0.4287949703428283</v>
      </c>
    </row>
    <row r="95" spans="2:20" ht="15" customHeight="1" hidden="1">
      <c r="B95" s="11" t="s">
        <v>31</v>
      </c>
      <c r="C95" s="34">
        <f aca="true" t="shared" si="13" ref="C95:T95">C$80*1000/$A100</f>
        <v>48.38709677419355</v>
      </c>
      <c r="D95" s="34">
        <f t="shared" si="13"/>
        <v>64.51612903225806</v>
      </c>
      <c r="E95" s="34">
        <f t="shared" si="13"/>
        <v>80.64516129032258</v>
      </c>
      <c r="F95" s="34">
        <f t="shared" si="13"/>
        <v>96.7741935483871</v>
      </c>
      <c r="G95" s="34">
        <f t="shared" si="13"/>
        <v>112.90322580645162</v>
      </c>
      <c r="H95" s="34">
        <f t="shared" si="13"/>
        <v>129.03225806451613</v>
      </c>
      <c r="I95" s="34">
        <f t="shared" si="13"/>
        <v>145.16129032258064</v>
      </c>
      <c r="J95" s="34">
        <f t="shared" si="13"/>
        <v>161.29032258064515</v>
      </c>
      <c r="K95" s="34">
        <f t="shared" si="13"/>
        <v>177.41935483870967</v>
      </c>
      <c r="L95" s="34">
        <f t="shared" si="13"/>
        <v>193.5483870967742</v>
      </c>
      <c r="M95" s="34">
        <f t="shared" si="13"/>
        <v>209.67741935483872</v>
      </c>
      <c r="N95" s="34">
        <f t="shared" si="13"/>
        <v>225.80645161290323</v>
      </c>
      <c r="O95" s="34">
        <f t="shared" si="13"/>
        <v>241.93548387096774</v>
      </c>
      <c r="P95" s="34">
        <f t="shared" si="13"/>
        <v>258.06451612903226</v>
      </c>
      <c r="Q95" s="34">
        <f t="shared" si="13"/>
        <v>274.19354838709677</v>
      </c>
      <c r="R95" s="34">
        <f t="shared" si="13"/>
        <v>290.3225806451613</v>
      </c>
      <c r="S95" s="34">
        <f t="shared" si="13"/>
        <v>306.4516129032258</v>
      </c>
      <c r="T95" s="34">
        <f t="shared" si="13"/>
        <v>322.5806451612903</v>
      </c>
    </row>
    <row r="96" spans="2:20" ht="18" customHeight="1" hidden="1">
      <c r="B96" s="11" t="s">
        <v>30</v>
      </c>
      <c r="C96" s="35">
        <f>IF(C95&gt;=50,IF(C95&lt;=200,$C$73*(C95-$B$67)+1,$C$75*(C95-$H$67)+0.8),1)</f>
        <v>1</v>
      </c>
      <c r="D96" s="35">
        <f>IF(D95&gt;=50,IF(D95&lt;=200,$C$73*(D95-$B$67)+1,$C$75*(D95-$H$67)+0.8),1)</f>
        <v>0.9806451612903226</v>
      </c>
      <c r="E96" s="35">
        <f>IF(E95&gt;=50,IF(E95&lt;=200,$C$73*(E95-$B$67)+1,$C$75*(E95-$H$67)+0.8),1)</f>
        <v>0.9591397849462365</v>
      </c>
      <c r="F96" s="35">
        <f>IF(F95&gt;=50,IF(F95&lt;=200,$C$73*(F95-$B$67)+1,$C$75*(F95-$H$67)+0.8),1)</f>
        <v>0.9376344086021505</v>
      </c>
      <c r="G96" s="35">
        <f>IF(G95&gt;=50,IF(G95&lt;=200,$C$73*(G95-$B$67)+1,$C$75*(G95-$H$67)+0.8),1)</f>
        <v>0.9161290322580645</v>
      </c>
      <c r="H96" s="35">
        <f>IF(H95&gt;=50,IF(H95&lt;=200,$C$73*(H95-$B$67)+1,$C$75*(H95-$H$67)+0.8),1)</f>
        <v>0.8946236559139785</v>
      </c>
      <c r="I96" s="35">
        <f>IF(I95&gt;=50,IF(I95&lt;=200,$C$73*(I95-$B$67)+1,$C$75*(I95-$H$67)+0.8),1)</f>
        <v>0.8731182795698925</v>
      </c>
      <c r="J96" s="35">
        <f>IF(J95&gt;=50,IF(J95&lt;=200,$C$73*(J95-$B$67)+1,$C$75*(J95-$H$67)+0.8),1)</f>
        <v>0.8516129032258065</v>
      </c>
      <c r="K96" s="35">
        <f>IF(K95&gt;=50,IF(K95&lt;=200,$C$73*(K95-$B$67)+1,$C$75*(K95-$H$67)+0.8),1)</f>
        <v>0.8301075268817205</v>
      </c>
      <c r="L96" s="35">
        <f>IF(L95&gt;=50,IF(L95&lt;=200,$C$73*(L95-$B$67)+1,$C$75*(L95-$H$67)+0.8),1)</f>
        <v>0.8086021505376344</v>
      </c>
      <c r="M96" s="35">
        <f>IF(M95&gt;=50,IF(M95&lt;=200,$C$73*(M95-$B$67)+1,$C$75*(M95-$H$67)+0.8),1)</f>
        <v>0.7935483870967742</v>
      </c>
      <c r="N96" s="35">
        <f>IF(N95&gt;=50,IF(N95&lt;=200,$C$73*(N95-$B$67)+1,$C$75*(N95-$H$67)+0.8),1)</f>
        <v>0.7827956989247312</v>
      </c>
      <c r="O96" s="35">
        <f>IF(O95&gt;=50,IF(O95&lt;=200,$C$73*(O95-$B$67)+1,$C$75*(O95-$H$67)+0.8),1)</f>
        <v>0.7720430107526882</v>
      </c>
      <c r="P96" s="35">
        <f>IF(P95&gt;=50,IF(P95&lt;=200,$C$73*(P95-$B$67)+1,$C$75*(P95-$H$67)+0.8),1)</f>
        <v>0.7612903225806452</v>
      </c>
      <c r="Q96" s="35">
        <f>IF(Q95&gt;=50,IF(Q95&lt;=200,$C$73*(Q95-$B$67)+1,$C$75*(Q95-$H$67)+0.8),1)</f>
        <v>0.7505376344086022</v>
      </c>
      <c r="R96" s="35">
        <f>IF(R95&gt;=50,IF(R95&lt;=200,$C$73*(R95-$B$67)+1,$C$75*(R95-$H$67)+0.8),1)</f>
        <v>0.7397849462365592</v>
      </c>
      <c r="S96" s="35">
        <f>IF(S95&gt;=50,IF(S95&lt;=200,$C$73*(S95-$B$67)+1,$C$75*(S95-$H$67)+0.8),1)</f>
        <v>0.7290322580645161</v>
      </c>
      <c r="T96" s="35">
        <f>IF(T95&gt;=50,IF(T95&lt;=200,$C$73*(T95-$B$67)+1,$C$75*(T95-$H$67)+0.8),1)</f>
        <v>0.7182795698924731</v>
      </c>
    </row>
    <row r="97" spans="1:20" ht="17.25">
      <c r="A97" s="9" t="s">
        <v>60</v>
      </c>
      <c r="B97" s="9">
        <v>250</v>
      </c>
      <c r="C97" s="12">
        <f aca="true" t="shared" si="14" ref="C97:T97">ROUNDUP(C91*100^2/$B97,0)</f>
        <v>48</v>
      </c>
      <c r="D97" s="12">
        <f t="shared" si="14"/>
        <v>47</v>
      </c>
      <c r="E97" s="12">
        <f t="shared" si="14"/>
        <v>46</v>
      </c>
      <c r="F97" s="12">
        <f t="shared" si="14"/>
        <v>45</v>
      </c>
      <c r="G97" s="12">
        <f t="shared" si="14"/>
        <v>44</v>
      </c>
      <c r="H97" s="12">
        <f t="shared" si="14"/>
        <v>43</v>
      </c>
      <c r="I97" s="12">
        <f t="shared" si="14"/>
        <v>42</v>
      </c>
      <c r="J97" s="12">
        <f t="shared" si="14"/>
        <v>41</v>
      </c>
      <c r="K97" s="12">
        <f t="shared" si="14"/>
        <v>40</v>
      </c>
      <c r="L97" s="12">
        <f t="shared" si="14"/>
        <v>39</v>
      </c>
      <c r="M97" s="12">
        <f t="shared" si="14"/>
        <v>38</v>
      </c>
      <c r="N97" s="12">
        <f t="shared" si="14"/>
        <v>38</v>
      </c>
      <c r="O97" s="12">
        <f t="shared" si="14"/>
        <v>37</v>
      </c>
      <c r="P97" s="12">
        <f t="shared" si="14"/>
        <v>37</v>
      </c>
      <c r="Q97" s="12">
        <f t="shared" si="14"/>
        <v>36</v>
      </c>
      <c r="R97" s="12">
        <f t="shared" si="14"/>
        <v>36</v>
      </c>
      <c r="S97" s="12">
        <f t="shared" si="14"/>
        <v>35</v>
      </c>
      <c r="T97" s="12">
        <f t="shared" si="14"/>
        <v>35</v>
      </c>
    </row>
    <row r="98" spans="1:20" ht="15">
      <c r="A98" s="9">
        <v>5500</v>
      </c>
      <c r="B98" s="9">
        <v>300</v>
      </c>
      <c r="C98" s="12">
        <f aca="true" t="shared" si="15" ref="C98:T98">ROUNDUP(C91*100^2/$B98,0)</f>
        <v>40</v>
      </c>
      <c r="D98" s="12">
        <f t="shared" si="15"/>
        <v>39</v>
      </c>
      <c r="E98" s="12">
        <f t="shared" si="15"/>
        <v>38</v>
      </c>
      <c r="F98" s="12">
        <f t="shared" si="15"/>
        <v>38</v>
      </c>
      <c r="G98" s="12">
        <f t="shared" si="15"/>
        <v>37</v>
      </c>
      <c r="H98" s="12">
        <f t="shared" si="15"/>
        <v>36</v>
      </c>
      <c r="I98" s="12">
        <f t="shared" si="15"/>
        <v>35</v>
      </c>
      <c r="J98" s="12">
        <f t="shared" si="15"/>
        <v>34</v>
      </c>
      <c r="K98" s="12">
        <f t="shared" si="15"/>
        <v>33</v>
      </c>
      <c r="L98" s="12">
        <f t="shared" si="15"/>
        <v>32</v>
      </c>
      <c r="M98" s="12">
        <f t="shared" si="15"/>
        <v>32</v>
      </c>
      <c r="N98" s="12">
        <f t="shared" si="15"/>
        <v>31</v>
      </c>
      <c r="O98" s="12">
        <f t="shared" si="15"/>
        <v>31</v>
      </c>
      <c r="P98" s="12">
        <f t="shared" si="15"/>
        <v>31</v>
      </c>
      <c r="Q98" s="12">
        <f t="shared" si="15"/>
        <v>30</v>
      </c>
      <c r="R98" s="12">
        <f t="shared" si="15"/>
        <v>30</v>
      </c>
      <c r="S98" s="12">
        <f t="shared" si="15"/>
        <v>29</v>
      </c>
      <c r="T98" s="12">
        <f t="shared" si="15"/>
        <v>29</v>
      </c>
    </row>
    <row r="99" spans="1:20" ht="15">
      <c r="A99" s="9" t="s">
        <v>61</v>
      </c>
      <c r="B99" s="9">
        <v>350</v>
      </c>
      <c r="C99" s="12">
        <f aca="true" t="shared" si="16" ref="C99:T99">ROUNDUP(C91*100^2/$B99,0)</f>
        <v>34</v>
      </c>
      <c r="D99" s="12">
        <f t="shared" si="16"/>
        <v>34</v>
      </c>
      <c r="E99" s="12">
        <f t="shared" si="16"/>
        <v>33</v>
      </c>
      <c r="F99" s="12">
        <f t="shared" si="16"/>
        <v>32</v>
      </c>
      <c r="G99" s="12">
        <f t="shared" si="16"/>
        <v>32</v>
      </c>
      <c r="H99" s="12">
        <f t="shared" si="16"/>
        <v>31</v>
      </c>
      <c r="I99" s="12">
        <f t="shared" si="16"/>
        <v>30</v>
      </c>
      <c r="J99" s="12">
        <f t="shared" si="16"/>
        <v>29</v>
      </c>
      <c r="K99" s="12">
        <f t="shared" si="16"/>
        <v>29</v>
      </c>
      <c r="L99" s="12">
        <f t="shared" si="16"/>
        <v>28</v>
      </c>
      <c r="M99" s="12">
        <f t="shared" si="16"/>
        <v>27</v>
      </c>
      <c r="N99" s="12">
        <f t="shared" si="16"/>
        <v>27</v>
      </c>
      <c r="O99" s="12">
        <f t="shared" si="16"/>
        <v>27</v>
      </c>
      <c r="P99" s="12">
        <f t="shared" si="16"/>
        <v>26</v>
      </c>
      <c r="Q99" s="12">
        <f t="shared" si="16"/>
        <v>26</v>
      </c>
      <c r="R99" s="12">
        <f t="shared" si="16"/>
        <v>26</v>
      </c>
      <c r="S99" s="12">
        <f t="shared" si="16"/>
        <v>25</v>
      </c>
      <c r="T99" s="12">
        <f t="shared" si="16"/>
        <v>25</v>
      </c>
    </row>
    <row r="100" spans="1:20" ht="15">
      <c r="A100" s="9">
        <v>62</v>
      </c>
      <c r="B100" s="13">
        <v>400</v>
      </c>
      <c r="C100" s="14">
        <f aca="true" t="shared" si="17" ref="C100:T100">ROUNDUP(C91*100^2/$B100,0)</f>
        <v>30</v>
      </c>
      <c r="D100" s="14">
        <f t="shared" si="17"/>
        <v>30</v>
      </c>
      <c r="E100" s="14">
        <f t="shared" si="17"/>
        <v>29</v>
      </c>
      <c r="F100" s="14">
        <f t="shared" si="17"/>
        <v>28</v>
      </c>
      <c r="G100" s="14">
        <f t="shared" si="17"/>
        <v>28</v>
      </c>
      <c r="H100" s="14">
        <f t="shared" si="17"/>
        <v>27</v>
      </c>
      <c r="I100" s="14">
        <f t="shared" si="17"/>
        <v>26</v>
      </c>
      <c r="J100" s="14">
        <f t="shared" si="17"/>
        <v>26</v>
      </c>
      <c r="K100" s="14">
        <f t="shared" si="17"/>
        <v>25</v>
      </c>
      <c r="L100" s="14">
        <f t="shared" si="17"/>
        <v>24</v>
      </c>
      <c r="M100" s="14">
        <f t="shared" si="17"/>
        <v>24</v>
      </c>
      <c r="N100" s="14">
        <f t="shared" si="17"/>
        <v>24</v>
      </c>
      <c r="O100" s="14">
        <f t="shared" si="17"/>
        <v>23</v>
      </c>
      <c r="P100" s="14">
        <f t="shared" si="17"/>
        <v>23</v>
      </c>
      <c r="Q100" s="14">
        <f t="shared" si="17"/>
        <v>23</v>
      </c>
      <c r="R100" s="14">
        <f t="shared" si="17"/>
        <v>22</v>
      </c>
      <c r="S100" s="14">
        <f t="shared" si="17"/>
        <v>22</v>
      </c>
      <c r="T100" s="14">
        <f t="shared" si="17"/>
        <v>22</v>
      </c>
    </row>
    <row r="101" spans="1:20" ht="15">
      <c r="A101" s="40" t="s">
        <v>59</v>
      </c>
      <c r="B101" s="68" t="s">
        <v>42</v>
      </c>
      <c r="C101" s="67">
        <f>0.9*2.78*10^-5*$A108^1.25*C106</f>
        <v>2.1628420954166</v>
      </c>
      <c r="D101" s="67">
        <f>0.9*2.78*10^-5*$A108^1.25*D106</f>
        <v>2.1591449294415286</v>
      </c>
      <c r="E101" s="67">
        <f>0.9*2.78*10^-5*$A108^1.25*E106</f>
        <v>2.1221732696908178</v>
      </c>
      <c r="F101" s="67">
        <f aca="true" t="shared" si="18" ref="F101:T101">0.9*2.78*10^-5*$A108^1.25*F106</f>
        <v>2.0852016099401065</v>
      </c>
      <c r="G101" s="67">
        <f t="shared" si="18"/>
        <v>2.0482299501893952</v>
      </c>
      <c r="H101" s="67">
        <f t="shared" si="18"/>
        <v>2.0112582904386844</v>
      </c>
      <c r="I101" s="67">
        <f t="shared" si="18"/>
        <v>1.9742866306879732</v>
      </c>
      <c r="J101" s="67">
        <f t="shared" si="18"/>
        <v>1.9373149709372621</v>
      </c>
      <c r="K101" s="67">
        <f t="shared" si="18"/>
        <v>1.900343311186551</v>
      </c>
      <c r="L101" s="67">
        <f t="shared" si="18"/>
        <v>1.86337165143584</v>
      </c>
      <c r="M101" s="67">
        <f t="shared" si="18"/>
        <v>1.826399991685129</v>
      </c>
      <c r="N101" s="67">
        <f t="shared" si="18"/>
        <v>1.7894283319344177</v>
      </c>
      <c r="O101" s="67">
        <f t="shared" si="18"/>
        <v>1.7524566721837065</v>
      </c>
      <c r="P101" s="67">
        <f t="shared" si="18"/>
        <v>1.7228793443831378</v>
      </c>
      <c r="Q101" s="67">
        <f t="shared" si="18"/>
        <v>1.7043935145077824</v>
      </c>
      <c r="R101" s="67">
        <f t="shared" si="18"/>
        <v>1.6859076846324266</v>
      </c>
      <c r="S101" s="67">
        <f t="shared" si="18"/>
        <v>1.6674218547570712</v>
      </c>
      <c r="T101" s="67">
        <f t="shared" si="18"/>
        <v>1.6489360248817155</v>
      </c>
    </row>
    <row r="102" spans="2:20" ht="15" hidden="1">
      <c r="B102" s="68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 ht="15" customHeight="1" hidden="1">
      <c r="B103" s="71" t="s">
        <v>55</v>
      </c>
      <c r="C103" s="9">
        <v>2.68</v>
      </c>
      <c r="D103" s="9">
        <v>2.68</v>
      </c>
      <c r="E103" s="9">
        <v>2.68</v>
      </c>
      <c r="F103" s="9">
        <v>2.64</v>
      </c>
      <c r="G103" s="9">
        <v>2.59</v>
      </c>
      <c r="H103" s="9">
        <v>2.55</v>
      </c>
      <c r="I103" s="9">
        <v>2.51</v>
      </c>
      <c r="J103" s="9">
        <v>2.48</v>
      </c>
      <c r="K103" s="9">
        <v>2.44</v>
      </c>
      <c r="L103" s="9">
        <v>2.4</v>
      </c>
      <c r="M103" s="9">
        <v>2.36</v>
      </c>
      <c r="N103" s="9">
        <v>2.33</v>
      </c>
      <c r="O103" s="9">
        <v>2.29</v>
      </c>
      <c r="P103" s="9">
        <v>2.26</v>
      </c>
      <c r="Q103" s="9">
        <v>2.22</v>
      </c>
      <c r="R103" s="9">
        <v>2.19</v>
      </c>
      <c r="S103" s="9">
        <v>2.16</v>
      </c>
      <c r="T103" s="9">
        <v>2.13</v>
      </c>
    </row>
    <row r="104" spans="1:20" ht="15" customHeight="1" hidden="1">
      <c r="A104" s="9"/>
      <c r="B104" s="71"/>
      <c r="C104" s="35">
        <f>C101-C103</f>
        <v>-0.5171579045834003</v>
      </c>
      <c r="D104" s="35">
        <f>D101-D103</f>
        <v>-0.5208550705584716</v>
      </c>
      <c r="E104" s="35">
        <f>E101-E103</f>
        <v>-0.5578267303091824</v>
      </c>
      <c r="F104" s="35">
        <f aca="true" t="shared" si="19" ref="F104:T104">F101-F103</f>
        <v>-0.5547983900598936</v>
      </c>
      <c r="G104" s="35">
        <f t="shared" si="19"/>
        <v>-0.5417700498106046</v>
      </c>
      <c r="H104" s="35">
        <f t="shared" si="19"/>
        <v>-0.5387417095613154</v>
      </c>
      <c r="I104" s="35">
        <f t="shared" si="19"/>
        <v>-0.5357133693120266</v>
      </c>
      <c r="J104" s="35">
        <f t="shared" si="19"/>
        <v>-0.5426850290627379</v>
      </c>
      <c r="K104" s="35">
        <f t="shared" si="19"/>
        <v>-0.5396566888134489</v>
      </c>
      <c r="L104" s="35">
        <f t="shared" si="19"/>
        <v>-0.5366283485641599</v>
      </c>
      <c r="M104" s="35">
        <f t="shared" si="19"/>
        <v>-0.5336000083148709</v>
      </c>
      <c r="N104" s="35">
        <f t="shared" si="19"/>
        <v>-0.5405716680655823</v>
      </c>
      <c r="O104" s="35">
        <f t="shared" si="19"/>
        <v>-0.5375433278162935</v>
      </c>
      <c r="P104" s="35">
        <f t="shared" si="19"/>
        <v>-0.537120655616862</v>
      </c>
      <c r="Q104" s="35">
        <f t="shared" si="19"/>
        <v>-0.5156064854922178</v>
      </c>
      <c r="R104" s="35">
        <f t="shared" si="19"/>
        <v>-0.5040923153675734</v>
      </c>
      <c r="S104" s="35">
        <f t="shared" si="19"/>
        <v>-0.492578145242929</v>
      </c>
      <c r="T104" s="35">
        <f t="shared" si="19"/>
        <v>-0.48106397511828436</v>
      </c>
    </row>
    <row r="105" spans="2:20" ht="15" customHeight="1" hidden="1">
      <c r="B105" s="11" t="s">
        <v>31</v>
      </c>
      <c r="C105" s="34">
        <f aca="true" t="shared" si="20" ref="C105:T105">C$80*1000/$A110</f>
        <v>38.46153846153846</v>
      </c>
      <c r="D105" s="34">
        <f t="shared" si="20"/>
        <v>51.282051282051285</v>
      </c>
      <c r="E105" s="34">
        <f t="shared" si="20"/>
        <v>64.1025641025641</v>
      </c>
      <c r="F105" s="34">
        <f t="shared" si="20"/>
        <v>76.92307692307692</v>
      </c>
      <c r="G105" s="34">
        <f t="shared" si="20"/>
        <v>89.74358974358974</v>
      </c>
      <c r="H105" s="34">
        <f t="shared" si="20"/>
        <v>102.56410256410257</v>
      </c>
      <c r="I105" s="34">
        <f t="shared" si="20"/>
        <v>115.38461538461539</v>
      </c>
      <c r="J105" s="34">
        <f t="shared" si="20"/>
        <v>128.2051282051282</v>
      </c>
      <c r="K105" s="34">
        <f t="shared" si="20"/>
        <v>141.02564102564102</v>
      </c>
      <c r="L105" s="34">
        <f t="shared" si="20"/>
        <v>153.84615384615384</v>
      </c>
      <c r="M105" s="34">
        <f t="shared" si="20"/>
        <v>166.66666666666666</v>
      </c>
      <c r="N105" s="34">
        <f t="shared" si="20"/>
        <v>179.48717948717947</v>
      </c>
      <c r="O105" s="34">
        <f t="shared" si="20"/>
        <v>192.30769230769232</v>
      </c>
      <c r="P105" s="34">
        <f t="shared" si="20"/>
        <v>205.12820512820514</v>
      </c>
      <c r="Q105" s="34">
        <f t="shared" si="20"/>
        <v>217.94871794871796</v>
      </c>
      <c r="R105" s="34">
        <f t="shared" si="20"/>
        <v>230.76923076923077</v>
      </c>
      <c r="S105" s="34">
        <f t="shared" si="20"/>
        <v>243.5897435897436</v>
      </c>
      <c r="T105" s="34">
        <f t="shared" si="20"/>
        <v>256.4102564102564</v>
      </c>
    </row>
    <row r="106" spans="2:20" ht="18" customHeight="1" hidden="1">
      <c r="B106" s="11" t="s">
        <v>30</v>
      </c>
      <c r="C106" s="35">
        <f>IF(C105&gt;=50,IF(C105&lt;=200,$C$73*(C105-$B$67)+1,$C$75*(C105-$H$67)+0.8),1)</f>
        <v>1</v>
      </c>
      <c r="D106" s="35">
        <f>IF(D105&gt;=50,IF(D105&lt;=200,$C$73*(D105-$B$67)+1,$C$75*(D105-$H$67)+0.8),1)</f>
        <v>0.9982905982905983</v>
      </c>
      <c r="E106" s="35">
        <f>IF(E105&gt;=50,IF(E105&lt;=200,$C$73*(E105-$B$67)+1,$C$75*(E105-$H$67)+0.8),1)</f>
        <v>0.9811965811965812</v>
      </c>
      <c r="F106" s="35">
        <f>IF(F105&gt;=50,IF(F105&lt;=200,$C$73*(F105-$B$67)+1,$C$75*(F105-$H$67)+0.8),1)</f>
        <v>0.9641025641025641</v>
      </c>
      <c r="G106" s="35">
        <f>IF(G105&gt;=50,IF(G105&lt;=200,$C$73*(G105-$B$67)+1,$C$75*(G105-$H$67)+0.8),1)</f>
        <v>0.947008547008547</v>
      </c>
      <c r="H106" s="35">
        <f>IF(H105&gt;=50,IF(H105&lt;=200,$C$73*(H105-$B$67)+1,$C$75*(H105-$H$67)+0.8),1)</f>
        <v>0.9299145299145299</v>
      </c>
      <c r="I106" s="35">
        <f>IF(I105&gt;=50,IF(I105&lt;=200,$C$73*(I105-$B$67)+1,$C$75*(I105-$H$67)+0.8),1)</f>
        <v>0.9128205128205128</v>
      </c>
      <c r="J106" s="35">
        <f>IF(J105&gt;=50,IF(J105&lt;=200,$C$73*(J105-$B$67)+1,$C$75*(J105-$H$67)+0.8),1)</f>
        <v>0.8957264957264958</v>
      </c>
      <c r="K106" s="35">
        <f>IF(K105&gt;=50,IF(K105&lt;=200,$C$73*(K105-$B$67)+1,$C$75*(K105-$H$67)+0.8),1)</f>
        <v>0.8786324786324786</v>
      </c>
      <c r="L106" s="35">
        <f>IF(L105&gt;=50,IF(L105&lt;=200,$C$73*(L105-$B$67)+1,$C$75*(L105-$H$67)+0.8),1)</f>
        <v>0.8615384615384616</v>
      </c>
      <c r="M106" s="35">
        <f>IF(M105&gt;=50,IF(M105&lt;=200,$C$73*(M105-$B$67)+1,$C$75*(M105-$H$67)+0.8),1)</f>
        <v>0.8444444444444446</v>
      </c>
      <c r="N106" s="35">
        <f>IF(N105&gt;=50,IF(N105&lt;=200,$C$73*(N105-$B$67)+1,$C$75*(N105-$H$67)+0.8),1)</f>
        <v>0.8273504273504274</v>
      </c>
      <c r="O106" s="35">
        <f>IF(O105&gt;=50,IF(O105&lt;=200,$C$73*(O105-$B$67)+1,$C$75*(O105-$H$67)+0.8),1)</f>
        <v>0.8102564102564103</v>
      </c>
      <c r="P106" s="35">
        <f>IF(P105&gt;=50,IF(P105&lt;=200,$C$73*(P105-$B$67)+1,$C$75*(P105-$H$67)+0.8),1)</f>
        <v>0.7965811965811966</v>
      </c>
      <c r="Q106" s="35">
        <f>IF(Q105&gt;=50,IF(Q105&lt;=200,$C$73*(Q105-$B$67)+1,$C$75*(Q105-$H$67)+0.8),1)</f>
        <v>0.7880341880341881</v>
      </c>
      <c r="R106" s="35">
        <f>IF(R105&gt;=50,IF(R105&lt;=200,$C$73*(R105-$B$67)+1,$C$75*(R105-$H$67)+0.8),1)</f>
        <v>0.7794871794871795</v>
      </c>
      <c r="S106" s="35">
        <f>IF(S105&gt;=50,IF(S105&lt;=200,$C$73*(S105-$B$67)+1,$C$75*(S105-$H$67)+0.8),1)</f>
        <v>0.770940170940171</v>
      </c>
      <c r="T106" s="35">
        <f>IF(T105&gt;=50,IF(T105&lt;=200,$C$73*(T105-$B$67)+1,$C$75*(T105-$H$67)+0.8),1)</f>
        <v>0.7623931623931625</v>
      </c>
    </row>
    <row r="107" spans="1:20" ht="17.25">
      <c r="A107" s="9" t="s">
        <v>60</v>
      </c>
      <c r="B107" s="9">
        <v>250</v>
      </c>
      <c r="C107" s="12">
        <f aca="true" t="shared" si="21" ref="C107:T107">ROUNDUP(C101*100^2/$B107,0)</f>
        <v>87</v>
      </c>
      <c r="D107" s="12">
        <f t="shared" si="21"/>
        <v>87</v>
      </c>
      <c r="E107" s="12">
        <f t="shared" si="21"/>
        <v>85</v>
      </c>
      <c r="F107" s="12">
        <f t="shared" si="21"/>
        <v>84</v>
      </c>
      <c r="G107" s="12">
        <f t="shared" si="21"/>
        <v>82</v>
      </c>
      <c r="H107" s="12">
        <f t="shared" si="21"/>
        <v>81</v>
      </c>
      <c r="I107" s="12">
        <f t="shared" si="21"/>
        <v>79</v>
      </c>
      <c r="J107" s="12">
        <f t="shared" si="21"/>
        <v>78</v>
      </c>
      <c r="K107" s="12">
        <f t="shared" si="21"/>
        <v>77</v>
      </c>
      <c r="L107" s="12">
        <f t="shared" si="21"/>
        <v>75</v>
      </c>
      <c r="M107" s="12">
        <f t="shared" si="21"/>
        <v>74</v>
      </c>
      <c r="N107" s="12">
        <f t="shared" si="21"/>
        <v>72</v>
      </c>
      <c r="O107" s="12">
        <f t="shared" si="21"/>
        <v>71</v>
      </c>
      <c r="P107" s="12">
        <f t="shared" si="21"/>
        <v>69</v>
      </c>
      <c r="Q107" s="12">
        <f t="shared" si="21"/>
        <v>69</v>
      </c>
      <c r="R107" s="12">
        <f t="shared" si="21"/>
        <v>68</v>
      </c>
      <c r="S107" s="12">
        <f t="shared" si="21"/>
        <v>67</v>
      </c>
      <c r="T107" s="12">
        <f t="shared" si="21"/>
        <v>66</v>
      </c>
    </row>
    <row r="108" spans="1:20" ht="15">
      <c r="A108" s="9">
        <v>8900</v>
      </c>
      <c r="B108" s="9">
        <v>300</v>
      </c>
      <c r="C108" s="12">
        <f aca="true" t="shared" si="22" ref="C108:T108">ROUNDUP(C101*100^2/$B108,0)</f>
        <v>73</v>
      </c>
      <c r="D108" s="12">
        <f t="shared" si="22"/>
        <v>72</v>
      </c>
      <c r="E108" s="12">
        <f t="shared" si="22"/>
        <v>71</v>
      </c>
      <c r="F108" s="12">
        <f t="shared" si="22"/>
        <v>70</v>
      </c>
      <c r="G108" s="12">
        <f t="shared" si="22"/>
        <v>69</v>
      </c>
      <c r="H108" s="12">
        <f t="shared" si="22"/>
        <v>68</v>
      </c>
      <c r="I108" s="12">
        <f t="shared" si="22"/>
        <v>66</v>
      </c>
      <c r="J108" s="12">
        <f t="shared" si="22"/>
        <v>65</v>
      </c>
      <c r="K108" s="12">
        <f t="shared" si="22"/>
        <v>64</v>
      </c>
      <c r="L108" s="12">
        <f t="shared" si="22"/>
        <v>63</v>
      </c>
      <c r="M108" s="12">
        <f t="shared" si="22"/>
        <v>61</v>
      </c>
      <c r="N108" s="12">
        <f t="shared" si="22"/>
        <v>60</v>
      </c>
      <c r="O108" s="12">
        <f t="shared" si="22"/>
        <v>59</v>
      </c>
      <c r="P108" s="12">
        <f t="shared" si="22"/>
        <v>58</v>
      </c>
      <c r="Q108" s="12">
        <f t="shared" si="22"/>
        <v>57</v>
      </c>
      <c r="R108" s="12">
        <f t="shared" si="22"/>
        <v>57</v>
      </c>
      <c r="S108" s="12">
        <f t="shared" si="22"/>
        <v>56</v>
      </c>
      <c r="T108" s="12">
        <f t="shared" si="22"/>
        <v>55</v>
      </c>
    </row>
    <row r="109" spans="1:20" ht="15">
      <c r="A109" s="9" t="s">
        <v>61</v>
      </c>
      <c r="B109" s="9">
        <v>350</v>
      </c>
      <c r="C109" s="12">
        <f aca="true" t="shared" si="23" ref="C109:T109">ROUNDUP(C101*100^2/$B109,0)</f>
        <v>62</v>
      </c>
      <c r="D109" s="12">
        <f t="shared" si="23"/>
        <v>62</v>
      </c>
      <c r="E109" s="12">
        <f t="shared" si="23"/>
        <v>61</v>
      </c>
      <c r="F109" s="12">
        <f t="shared" si="23"/>
        <v>60</v>
      </c>
      <c r="G109" s="12">
        <f t="shared" si="23"/>
        <v>59</v>
      </c>
      <c r="H109" s="12">
        <f t="shared" si="23"/>
        <v>58</v>
      </c>
      <c r="I109" s="12">
        <f t="shared" si="23"/>
        <v>57</v>
      </c>
      <c r="J109" s="12">
        <f t="shared" si="23"/>
        <v>56</v>
      </c>
      <c r="K109" s="12">
        <f t="shared" si="23"/>
        <v>55</v>
      </c>
      <c r="L109" s="12">
        <f t="shared" si="23"/>
        <v>54</v>
      </c>
      <c r="M109" s="12">
        <f t="shared" si="23"/>
        <v>53</v>
      </c>
      <c r="N109" s="12">
        <f t="shared" si="23"/>
        <v>52</v>
      </c>
      <c r="O109" s="12">
        <f t="shared" si="23"/>
        <v>51</v>
      </c>
      <c r="P109" s="12">
        <f t="shared" si="23"/>
        <v>50</v>
      </c>
      <c r="Q109" s="12">
        <f t="shared" si="23"/>
        <v>49</v>
      </c>
      <c r="R109" s="12">
        <f t="shared" si="23"/>
        <v>49</v>
      </c>
      <c r="S109" s="12">
        <f t="shared" si="23"/>
        <v>48</v>
      </c>
      <c r="T109" s="12">
        <f t="shared" si="23"/>
        <v>48</v>
      </c>
    </row>
    <row r="110" spans="1:20" ht="15">
      <c r="A110" s="9">
        <v>78</v>
      </c>
      <c r="B110" s="13">
        <v>400</v>
      </c>
      <c r="C110" s="14">
        <f aca="true" t="shared" si="24" ref="C110:T110">ROUNDUP(C101*100^2/$B110,0)</f>
        <v>55</v>
      </c>
      <c r="D110" s="14">
        <f t="shared" si="24"/>
        <v>54</v>
      </c>
      <c r="E110" s="14">
        <f t="shared" si="24"/>
        <v>54</v>
      </c>
      <c r="F110" s="14">
        <f t="shared" si="24"/>
        <v>53</v>
      </c>
      <c r="G110" s="14">
        <f t="shared" si="24"/>
        <v>52</v>
      </c>
      <c r="H110" s="14">
        <f t="shared" si="24"/>
        <v>51</v>
      </c>
      <c r="I110" s="14">
        <f t="shared" si="24"/>
        <v>50</v>
      </c>
      <c r="J110" s="14">
        <f t="shared" si="24"/>
        <v>49</v>
      </c>
      <c r="K110" s="14">
        <f t="shared" si="24"/>
        <v>48</v>
      </c>
      <c r="L110" s="14">
        <f t="shared" si="24"/>
        <v>47</v>
      </c>
      <c r="M110" s="14">
        <f t="shared" si="24"/>
        <v>46</v>
      </c>
      <c r="N110" s="14">
        <f t="shared" si="24"/>
        <v>45</v>
      </c>
      <c r="O110" s="14">
        <f t="shared" si="24"/>
        <v>44</v>
      </c>
      <c r="P110" s="14">
        <f t="shared" si="24"/>
        <v>44</v>
      </c>
      <c r="Q110" s="14">
        <f t="shared" si="24"/>
        <v>43</v>
      </c>
      <c r="R110" s="14">
        <f t="shared" si="24"/>
        <v>43</v>
      </c>
      <c r="S110" s="14">
        <f t="shared" si="24"/>
        <v>42</v>
      </c>
      <c r="T110" s="14">
        <f t="shared" si="24"/>
        <v>42</v>
      </c>
    </row>
    <row r="111" spans="1:20" ht="15">
      <c r="A111" s="40" t="s">
        <v>53</v>
      </c>
      <c r="B111" s="68" t="s">
        <v>42</v>
      </c>
      <c r="C111" s="67">
        <f>0.9*2.78*10^-5*$A118^1.25*C116</f>
        <v>4.57278806430645</v>
      </c>
      <c r="D111" s="67">
        <f>0.9*2.78*10^-5*$A118^1.25*D116</f>
        <v>4.57278806430645</v>
      </c>
      <c r="E111" s="67">
        <f>0.9*2.78*10^-5*$A118^1.25*E116</f>
        <v>4.57278806430645</v>
      </c>
      <c r="F111" s="67">
        <f aca="true" t="shared" si="25" ref="F111:T111">0.9*2.78*10^-5*$A118^1.25*F116</f>
        <v>4.529237701789246</v>
      </c>
      <c r="G111" s="67">
        <f t="shared" si="25"/>
        <v>4.471170551766306</v>
      </c>
      <c r="H111" s="67">
        <f t="shared" si="25"/>
        <v>4.413103401743368</v>
      </c>
      <c r="I111" s="67">
        <f t="shared" si="25"/>
        <v>4.355036251720429</v>
      </c>
      <c r="J111" s="67">
        <f t="shared" si="25"/>
        <v>4.296969101697489</v>
      </c>
      <c r="K111" s="67">
        <f t="shared" si="25"/>
        <v>4.238901951674551</v>
      </c>
      <c r="L111" s="67">
        <f t="shared" si="25"/>
        <v>4.180834801651612</v>
      </c>
      <c r="M111" s="67">
        <f t="shared" si="25"/>
        <v>4.122767651628672</v>
      </c>
      <c r="N111" s="67">
        <f t="shared" si="25"/>
        <v>4.064700501605733</v>
      </c>
      <c r="O111" s="67">
        <f t="shared" si="25"/>
        <v>4.006633351582794</v>
      </c>
      <c r="P111" s="67">
        <f t="shared" si="25"/>
        <v>3.9485662015598555</v>
      </c>
      <c r="Q111" s="67">
        <f t="shared" si="25"/>
        <v>3.8904990515369167</v>
      </c>
      <c r="R111" s="67">
        <f t="shared" si="25"/>
        <v>3.8324319015139774</v>
      </c>
      <c r="S111" s="67">
        <f t="shared" si="25"/>
        <v>3.774364751491038</v>
      </c>
      <c r="T111" s="67">
        <f t="shared" si="25"/>
        <v>3.716297601468099</v>
      </c>
    </row>
    <row r="112" spans="2:20" ht="15">
      <c r="B112" s="68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 ht="15" customHeight="1" hidden="1">
      <c r="B113" s="71" t="s">
        <v>55</v>
      </c>
      <c r="C113" s="9">
        <v>4.71</v>
      </c>
      <c r="D113" s="9">
        <v>4.71</v>
      </c>
      <c r="E113" s="9">
        <v>4.71</v>
      </c>
      <c r="F113" s="9">
        <v>4.63</v>
      </c>
      <c r="G113" s="9">
        <v>4.57</v>
      </c>
      <c r="H113" s="9">
        <v>4.51</v>
      </c>
      <c r="I113" s="9">
        <v>4.46</v>
      </c>
      <c r="J113" s="9">
        <v>4.4</v>
      </c>
      <c r="K113" s="9">
        <v>4.35</v>
      </c>
      <c r="L113" s="9">
        <v>4.29</v>
      </c>
      <c r="M113" s="9">
        <v>4.24</v>
      </c>
      <c r="N113" s="9">
        <v>4.18</v>
      </c>
      <c r="O113" s="9">
        <v>4.13</v>
      </c>
      <c r="P113" s="9">
        <v>4.08</v>
      </c>
      <c r="Q113" s="9">
        <v>4.03</v>
      </c>
      <c r="R113" s="9">
        <v>3.98</v>
      </c>
      <c r="S113" s="9">
        <v>3.93</v>
      </c>
      <c r="T113" s="9">
        <v>3.89</v>
      </c>
    </row>
    <row r="114" spans="1:20" ht="15" customHeight="1" hidden="1">
      <c r="A114" s="9"/>
      <c r="B114" s="71"/>
      <c r="C114" s="35">
        <f>C111-C113</f>
        <v>-0.13721193569354995</v>
      </c>
      <c r="D114" s="35">
        <f>D111-D113</f>
        <v>-0.13721193569354995</v>
      </c>
      <c r="E114" s="35">
        <f>E111-E113</f>
        <v>-0.13721193569354995</v>
      </c>
      <c r="F114" s="35">
        <f aca="true" t="shared" si="26" ref="F114:T114">F111-F113</f>
        <v>-0.10076229821075433</v>
      </c>
      <c r="G114" s="35">
        <f t="shared" si="26"/>
        <v>-0.098829448233694</v>
      </c>
      <c r="H114" s="35">
        <f t="shared" si="26"/>
        <v>-0.09689659825663188</v>
      </c>
      <c r="I114" s="35">
        <f t="shared" si="26"/>
        <v>-0.10496374827957133</v>
      </c>
      <c r="J114" s="35">
        <f t="shared" si="26"/>
        <v>-0.103030898302511</v>
      </c>
      <c r="K114" s="35">
        <f t="shared" si="26"/>
        <v>-0.11109804832544867</v>
      </c>
      <c r="L114" s="35">
        <f t="shared" si="26"/>
        <v>-0.10916519834838834</v>
      </c>
      <c r="M114" s="35">
        <f t="shared" si="26"/>
        <v>-0.11723234837132779</v>
      </c>
      <c r="N114" s="35">
        <f t="shared" si="26"/>
        <v>-0.11529949839426656</v>
      </c>
      <c r="O114" s="35">
        <f t="shared" si="26"/>
        <v>-0.12336664841720602</v>
      </c>
      <c r="P114" s="35">
        <f t="shared" si="26"/>
        <v>-0.13143379844014458</v>
      </c>
      <c r="Q114" s="35">
        <f t="shared" si="26"/>
        <v>-0.13950094846308358</v>
      </c>
      <c r="R114" s="35">
        <f t="shared" si="26"/>
        <v>-0.1475680984860226</v>
      </c>
      <c r="S114" s="35">
        <f t="shared" si="26"/>
        <v>-0.15563524850896204</v>
      </c>
      <c r="T114" s="35">
        <f t="shared" si="26"/>
        <v>-0.17370239853190128</v>
      </c>
    </row>
    <row r="115" spans="2:20" ht="15" customHeight="1" hidden="1">
      <c r="B115" s="11" t="s">
        <v>31</v>
      </c>
      <c r="C115" s="34">
        <f aca="true" t="shared" si="27" ref="C115:T115">C$80*1000/$A120</f>
        <v>28.571428571428573</v>
      </c>
      <c r="D115" s="34">
        <f t="shared" si="27"/>
        <v>38.095238095238095</v>
      </c>
      <c r="E115" s="34">
        <f t="shared" si="27"/>
        <v>47.61904761904762</v>
      </c>
      <c r="F115" s="34">
        <f t="shared" si="27"/>
        <v>57.142857142857146</v>
      </c>
      <c r="G115" s="34">
        <f t="shared" si="27"/>
        <v>66.66666666666667</v>
      </c>
      <c r="H115" s="34">
        <f t="shared" si="27"/>
        <v>76.19047619047619</v>
      </c>
      <c r="I115" s="34">
        <f t="shared" si="27"/>
        <v>85.71428571428571</v>
      </c>
      <c r="J115" s="34">
        <f t="shared" si="27"/>
        <v>95.23809523809524</v>
      </c>
      <c r="K115" s="34">
        <f t="shared" si="27"/>
        <v>104.76190476190476</v>
      </c>
      <c r="L115" s="34">
        <f t="shared" si="27"/>
        <v>114.28571428571429</v>
      </c>
      <c r="M115" s="34">
        <f t="shared" si="27"/>
        <v>123.80952380952381</v>
      </c>
      <c r="N115" s="34">
        <f t="shared" si="27"/>
        <v>133.33333333333334</v>
      </c>
      <c r="O115" s="34">
        <f t="shared" si="27"/>
        <v>142.85714285714286</v>
      </c>
      <c r="P115" s="34">
        <f t="shared" si="27"/>
        <v>152.38095238095238</v>
      </c>
      <c r="Q115" s="34">
        <f t="shared" si="27"/>
        <v>161.9047619047619</v>
      </c>
      <c r="R115" s="34">
        <f t="shared" si="27"/>
        <v>171.42857142857142</v>
      </c>
      <c r="S115" s="34">
        <f t="shared" si="27"/>
        <v>180.95238095238096</v>
      </c>
      <c r="T115" s="34">
        <f t="shared" si="27"/>
        <v>190.47619047619048</v>
      </c>
    </row>
    <row r="116" spans="2:20" ht="18" customHeight="1" hidden="1">
      <c r="B116" s="11" t="s">
        <v>30</v>
      </c>
      <c r="C116" s="35">
        <f>IF(C115&gt;=50,IF(C115&lt;=200,$C$73*(C115-$B$67)+1,$C$75*(C115-$H$67)+0.8),1)</f>
        <v>1</v>
      </c>
      <c r="D116" s="35">
        <f>IF(D115&gt;=50,IF(D115&lt;=200,$C$73*(D115-$B$67)+1,$C$75*(D115-$H$67)+0.8),1)</f>
        <v>1</v>
      </c>
      <c r="E116" s="35">
        <f>IF(E115&gt;=50,IF(E115&lt;=200,$C$73*(E115-$B$67)+1,$C$75*(E115-$H$67)+0.8),1)</f>
        <v>1</v>
      </c>
      <c r="F116" s="35">
        <f>IF(F115&gt;=50,IF(F115&lt;=200,$C$73*(F115-$B$67)+1,$C$75*(F115-$H$67)+0.8),1)</f>
        <v>0.9904761904761905</v>
      </c>
      <c r="G116" s="35">
        <f>IF(G115&gt;=50,IF(G115&lt;=200,$C$73*(G115-$B$67)+1,$C$75*(G115-$H$67)+0.8),1)</f>
        <v>0.9777777777777777</v>
      </c>
      <c r="H116" s="35">
        <f>IF(H115&gt;=50,IF(H115&lt;=200,$C$73*(H115-$B$67)+1,$C$75*(H115-$H$67)+0.8),1)</f>
        <v>0.9650793650793651</v>
      </c>
      <c r="I116" s="35">
        <f>IF(I115&gt;=50,IF(I115&lt;=200,$C$73*(I115-$B$67)+1,$C$75*(I115-$H$67)+0.8),1)</f>
        <v>0.9523809523809524</v>
      </c>
      <c r="J116" s="35">
        <f>IF(J115&gt;=50,IF(J115&lt;=200,$C$73*(J115-$B$67)+1,$C$75*(J115-$H$67)+0.8),1)</f>
        <v>0.9396825396825397</v>
      </c>
      <c r="K116" s="35">
        <f>IF(K115&gt;=50,IF(K115&lt;=200,$C$73*(K115-$B$67)+1,$C$75*(K115-$H$67)+0.8),1)</f>
        <v>0.926984126984127</v>
      </c>
      <c r="L116" s="35">
        <f>IF(L115&gt;=50,IF(L115&lt;=200,$C$73*(L115-$B$67)+1,$C$75*(L115-$H$67)+0.8),1)</f>
        <v>0.9142857142857143</v>
      </c>
      <c r="M116" s="35">
        <f>IF(M115&gt;=50,IF(M115&lt;=200,$C$73*(M115-$B$67)+1,$C$75*(M115-$H$67)+0.8),1)</f>
        <v>0.9015873015873016</v>
      </c>
      <c r="N116" s="35">
        <f>IF(N115&gt;=50,IF(N115&lt;=200,$C$73*(N115-$B$67)+1,$C$75*(N115-$H$67)+0.8),1)</f>
        <v>0.8888888888888888</v>
      </c>
      <c r="O116" s="35">
        <f>IF(O115&gt;=50,IF(O115&lt;=200,$C$73*(O115-$B$67)+1,$C$75*(O115-$H$67)+0.8),1)</f>
        <v>0.8761904761904762</v>
      </c>
      <c r="P116" s="35">
        <f>IF(P115&gt;=50,IF(P115&lt;=200,$C$73*(P115-$B$67)+1,$C$75*(P115-$H$67)+0.8),1)</f>
        <v>0.8634920634920635</v>
      </c>
      <c r="Q116" s="35">
        <f>IF(Q115&gt;=50,IF(Q115&lt;=200,$C$73*(Q115-$B$67)+1,$C$75*(Q115-$H$67)+0.8),1)</f>
        <v>0.8507936507936509</v>
      </c>
      <c r="R116" s="35">
        <f>IF(R115&gt;=50,IF(R115&lt;=200,$C$73*(R115-$B$67)+1,$C$75*(R115-$H$67)+0.8),1)</f>
        <v>0.8380952380952381</v>
      </c>
      <c r="S116" s="35">
        <f>IF(S115&gt;=50,IF(S115&lt;=200,$C$73*(S115-$B$67)+1,$C$75*(S115-$H$67)+0.8),1)</f>
        <v>0.8253968253968254</v>
      </c>
      <c r="T116" s="35">
        <f>IF(T115&gt;=50,IF(T115&lt;=200,$C$73*(T115-$B$67)+1,$C$75*(T115-$H$67)+0.8),1)</f>
        <v>0.8126984126984127</v>
      </c>
    </row>
    <row r="117" spans="1:20" ht="17.25">
      <c r="A117" s="9" t="s">
        <v>60</v>
      </c>
      <c r="B117" s="9">
        <v>250</v>
      </c>
      <c r="C117" s="12">
        <f aca="true" t="shared" si="28" ref="C117:T117">ROUNDUP(C111*100^2/$B117,0)</f>
        <v>183</v>
      </c>
      <c r="D117" s="12">
        <f t="shared" si="28"/>
        <v>183</v>
      </c>
      <c r="E117" s="12">
        <f t="shared" si="28"/>
        <v>183</v>
      </c>
      <c r="F117" s="12">
        <f t="shared" si="28"/>
        <v>182</v>
      </c>
      <c r="G117" s="12">
        <f t="shared" si="28"/>
        <v>179</v>
      </c>
      <c r="H117" s="12">
        <f t="shared" si="28"/>
        <v>177</v>
      </c>
      <c r="I117" s="12">
        <f t="shared" si="28"/>
        <v>175</v>
      </c>
      <c r="J117" s="12">
        <f t="shared" si="28"/>
        <v>172</v>
      </c>
      <c r="K117" s="12">
        <f t="shared" si="28"/>
        <v>170</v>
      </c>
      <c r="L117" s="12">
        <f t="shared" si="28"/>
        <v>168</v>
      </c>
      <c r="M117" s="12">
        <f t="shared" si="28"/>
        <v>165</v>
      </c>
      <c r="N117" s="12">
        <f t="shared" si="28"/>
        <v>163</v>
      </c>
      <c r="O117" s="12">
        <f t="shared" si="28"/>
        <v>161</v>
      </c>
      <c r="P117" s="12">
        <f t="shared" si="28"/>
        <v>158</v>
      </c>
      <c r="Q117" s="12">
        <f t="shared" si="28"/>
        <v>156</v>
      </c>
      <c r="R117" s="12">
        <f t="shared" si="28"/>
        <v>154</v>
      </c>
      <c r="S117" s="12">
        <f t="shared" si="28"/>
        <v>151</v>
      </c>
      <c r="T117" s="12">
        <f t="shared" si="28"/>
        <v>149</v>
      </c>
    </row>
    <row r="118" spans="1:20" ht="15">
      <c r="A118" s="9">
        <v>16200</v>
      </c>
      <c r="B118" s="9">
        <v>300</v>
      </c>
      <c r="C118" s="12">
        <f aca="true" t="shared" si="29" ref="C118:T118">ROUNDUP(C111*100^2/$B118,0)</f>
        <v>153</v>
      </c>
      <c r="D118" s="12">
        <f t="shared" si="29"/>
        <v>153</v>
      </c>
      <c r="E118" s="12">
        <f t="shared" si="29"/>
        <v>153</v>
      </c>
      <c r="F118" s="12">
        <f t="shared" si="29"/>
        <v>151</v>
      </c>
      <c r="G118" s="12">
        <f t="shared" si="29"/>
        <v>150</v>
      </c>
      <c r="H118" s="12">
        <f t="shared" si="29"/>
        <v>148</v>
      </c>
      <c r="I118" s="12">
        <f t="shared" si="29"/>
        <v>146</v>
      </c>
      <c r="J118" s="12">
        <f t="shared" si="29"/>
        <v>144</v>
      </c>
      <c r="K118" s="12">
        <f t="shared" si="29"/>
        <v>142</v>
      </c>
      <c r="L118" s="12">
        <f t="shared" si="29"/>
        <v>140</v>
      </c>
      <c r="M118" s="12">
        <f t="shared" si="29"/>
        <v>138</v>
      </c>
      <c r="N118" s="12">
        <f t="shared" si="29"/>
        <v>136</v>
      </c>
      <c r="O118" s="12">
        <f t="shared" si="29"/>
        <v>134</v>
      </c>
      <c r="P118" s="12">
        <f t="shared" si="29"/>
        <v>132</v>
      </c>
      <c r="Q118" s="12">
        <f t="shared" si="29"/>
        <v>130</v>
      </c>
      <c r="R118" s="12">
        <f t="shared" si="29"/>
        <v>128</v>
      </c>
      <c r="S118" s="12">
        <f t="shared" si="29"/>
        <v>126</v>
      </c>
      <c r="T118" s="12">
        <f t="shared" si="29"/>
        <v>124</v>
      </c>
    </row>
    <row r="119" spans="1:20" ht="15">
      <c r="A119" s="9" t="s">
        <v>61</v>
      </c>
      <c r="B119" s="9">
        <v>350</v>
      </c>
      <c r="C119" s="12">
        <f aca="true" t="shared" si="30" ref="C119:T119">ROUNDUP(C111*100^2/$B119,0)</f>
        <v>131</v>
      </c>
      <c r="D119" s="12">
        <f t="shared" si="30"/>
        <v>131</v>
      </c>
      <c r="E119" s="12">
        <f t="shared" si="30"/>
        <v>131</v>
      </c>
      <c r="F119" s="12">
        <f t="shared" si="30"/>
        <v>130</v>
      </c>
      <c r="G119" s="12">
        <f t="shared" si="30"/>
        <v>128</v>
      </c>
      <c r="H119" s="12">
        <f t="shared" si="30"/>
        <v>127</v>
      </c>
      <c r="I119" s="12">
        <f t="shared" si="30"/>
        <v>125</v>
      </c>
      <c r="J119" s="12">
        <f t="shared" si="30"/>
        <v>123</v>
      </c>
      <c r="K119" s="12">
        <f t="shared" si="30"/>
        <v>122</v>
      </c>
      <c r="L119" s="12">
        <f t="shared" si="30"/>
        <v>120</v>
      </c>
      <c r="M119" s="12">
        <f t="shared" si="30"/>
        <v>118</v>
      </c>
      <c r="N119" s="12">
        <f t="shared" si="30"/>
        <v>117</v>
      </c>
      <c r="O119" s="12">
        <f t="shared" si="30"/>
        <v>115</v>
      </c>
      <c r="P119" s="12">
        <f t="shared" si="30"/>
        <v>113</v>
      </c>
      <c r="Q119" s="12">
        <f t="shared" si="30"/>
        <v>112</v>
      </c>
      <c r="R119" s="12">
        <f t="shared" si="30"/>
        <v>110</v>
      </c>
      <c r="S119" s="12">
        <f t="shared" si="30"/>
        <v>108</v>
      </c>
      <c r="T119" s="12">
        <f t="shared" si="30"/>
        <v>107</v>
      </c>
    </row>
    <row r="120" spans="1:20" ht="15">
      <c r="A120" s="13">
        <v>105</v>
      </c>
      <c r="B120" s="13">
        <v>400</v>
      </c>
      <c r="C120" s="14">
        <f aca="true" t="shared" si="31" ref="C120:T120">ROUNDUP(C111*100^2/$B120,0)</f>
        <v>115</v>
      </c>
      <c r="D120" s="14">
        <f t="shared" si="31"/>
        <v>115</v>
      </c>
      <c r="E120" s="14">
        <f t="shared" si="31"/>
        <v>115</v>
      </c>
      <c r="F120" s="14">
        <f t="shared" si="31"/>
        <v>114</v>
      </c>
      <c r="G120" s="14">
        <f t="shared" si="31"/>
        <v>112</v>
      </c>
      <c r="H120" s="14">
        <f t="shared" si="31"/>
        <v>111</v>
      </c>
      <c r="I120" s="14">
        <f t="shared" si="31"/>
        <v>109</v>
      </c>
      <c r="J120" s="14">
        <f t="shared" si="31"/>
        <v>108</v>
      </c>
      <c r="K120" s="14">
        <f t="shared" si="31"/>
        <v>106</v>
      </c>
      <c r="L120" s="14">
        <f t="shared" si="31"/>
        <v>105</v>
      </c>
      <c r="M120" s="14">
        <f t="shared" si="31"/>
        <v>104</v>
      </c>
      <c r="N120" s="14">
        <f t="shared" si="31"/>
        <v>102</v>
      </c>
      <c r="O120" s="14">
        <f t="shared" si="31"/>
        <v>101</v>
      </c>
      <c r="P120" s="14">
        <f t="shared" si="31"/>
        <v>99</v>
      </c>
      <c r="Q120" s="14">
        <f t="shared" si="31"/>
        <v>98</v>
      </c>
      <c r="R120" s="14">
        <f t="shared" si="31"/>
        <v>96</v>
      </c>
      <c r="S120" s="14">
        <f t="shared" si="31"/>
        <v>95</v>
      </c>
      <c r="T120" s="14">
        <f t="shared" si="31"/>
        <v>93</v>
      </c>
    </row>
    <row r="121" ht="18">
      <c r="A121" t="s">
        <v>178</v>
      </c>
    </row>
    <row r="144" spans="2:5" ht="15">
      <c r="B144" s="44" t="s">
        <v>71</v>
      </c>
      <c r="C144" s="6"/>
      <c r="D144" s="7"/>
      <c r="E144" s="45"/>
    </row>
    <row r="145" spans="2:5" ht="18">
      <c r="B145" s="9" t="s">
        <v>66</v>
      </c>
      <c r="C145" s="9" t="s">
        <v>67</v>
      </c>
      <c r="D145" s="9" t="s">
        <v>12</v>
      </c>
      <c r="E145" s="9" t="s">
        <v>62</v>
      </c>
    </row>
    <row r="146" spans="2:5" ht="15">
      <c r="B146" s="13" t="s">
        <v>3</v>
      </c>
      <c r="C146" s="13" t="s">
        <v>3</v>
      </c>
      <c r="D146" s="13" t="s">
        <v>69</v>
      </c>
      <c r="E146" s="13" t="s">
        <v>63</v>
      </c>
    </row>
    <row r="147" spans="2:5" ht="15">
      <c r="B147" s="10" t="s">
        <v>4</v>
      </c>
      <c r="C147" s="10" t="s">
        <v>4</v>
      </c>
      <c r="D147" s="9"/>
      <c r="E147" s="11"/>
    </row>
    <row r="148" spans="2:5" ht="15">
      <c r="B148" s="9">
        <v>75</v>
      </c>
      <c r="C148" s="12">
        <v>74.85</v>
      </c>
      <c r="D148" s="12">
        <v>4400.21088189288</v>
      </c>
      <c r="E148" s="34">
        <v>4.9391405657680965</v>
      </c>
    </row>
    <row r="149" spans="2:5" ht="15">
      <c r="B149" s="9">
        <v>87</v>
      </c>
      <c r="C149" s="12">
        <v>86.67</v>
      </c>
      <c r="D149" s="12">
        <v>5899.666666072999</v>
      </c>
      <c r="E149" s="34">
        <v>7.302250008002958</v>
      </c>
    </row>
    <row r="150" spans="2:5" ht="15">
      <c r="B150" s="9">
        <v>100</v>
      </c>
      <c r="C150" s="12">
        <v>99.655</v>
      </c>
      <c r="D150" s="12">
        <v>7799.882642716458</v>
      </c>
      <c r="E150" s="34">
        <v>10.595891185056617</v>
      </c>
    </row>
    <row r="151" spans="2:5" ht="15">
      <c r="B151" s="9">
        <v>111</v>
      </c>
      <c r="C151" s="12">
        <v>111.13</v>
      </c>
      <c r="D151" s="12">
        <v>9699.570635444572</v>
      </c>
      <c r="E151" s="34">
        <v>14.169572422537449</v>
      </c>
    </row>
    <row r="152" spans="2:5" ht="15">
      <c r="B152" s="13">
        <v>120</v>
      </c>
      <c r="C152" s="14">
        <v>119.95</v>
      </c>
      <c r="D152" s="14">
        <v>11300.310738457894</v>
      </c>
      <c r="E152" s="46">
        <v>17.370297094228857</v>
      </c>
    </row>
  </sheetData>
  <sheetProtection/>
  <mergeCells count="158">
    <mergeCell ref="A9:A10"/>
    <mergeCell ref="B9:B10"/>
    <mergeCell ref="B11:B12"/>
    <mergeCell ref="C11:C12"/>
    <mergeCell ref="I11:I12"/>
    <mergeCell ref="B34:B35"/>
    <mergeCell ref="J31:J32"/>
    <mergeCell ref="K31:K32"/>
    <mergeCell ref="L31:L32"/>
    <mergeCell ref="E31:E32"/>
    <mergeCell ref="F31:F32"/>
    <mergeCell ref="G31:G32"/>
    <mergeCell ref="H21:H22"/>
    <mergeCell ref="I21:I22"/>
    <mergeCell ref="M31:M32"/>
    <mergeCell ref="N21:N22"/>
    <mergeCell ref="M21:M22"/>
    <mergeCell ref="N31:N32"/>
    <mergeCell ref="L11:L12"/>
    <mergeCell ref="M11:M12"/>
    <mergeCell ref="N11:N12"/>
    <mergeCell ref="J11:J12"/>
    <mergeCell ref="K11:K12"/>
    <mergeCell ref="J21:J22"/>
    <mergeCell ref="K21:K22"/>
    <mergeCell ref="L21:L22"/>
    <mergeCell ref="O31:O32"/>
    <mergeCell ref="P11:P12"/>
    <mergeCell ref="Q11:Q12"/>
    <mergeCell ref="R11:R12"/>
    <mergeCell ref="B13:B14"/>
    <mergeCell ref="B21:B22"/>
    <mergeCell ref="C21:C22"/>
    <mergeCell ref="D21:D22"/>
    <mergeCell ref="E21:E22"/>
    <mergeCell ref="F21:F22"/>
    <mergeCell ref="G21:G22"/>
    <mergeCell ref="D11:D12"/>
    <mergeCell ref="E11:E12"/>
    <mergeCell ref="F11:F12"/>
    <mergeCell ref="G11:G12"/>
    <mergeCell ref="H11:H12"/>
    <mergeCell ref="O21:O22"/>
    <mergeCell ref="H31:H32"/>
    <mergeCell ref="I31:I32"/>
    <mergeCell ref="O11:O12"/>
    <mergeCell ref="B23:B24"/>
    <mergeCell ref="B31:B32"/>
    <mergeCell ref="C31:C32"/>
    <mergeCell ref="D31:D32"/>
    <mergeCell ref="P31:P32"/>
    <mergeCell ref="Q31:Q32"/>
    <mergeCell ref="R31:R32"/>
    <mergeCell ref="R42:R43"/>
    <mergeCell ref="P42:P43"/>
    <mergeCell ref="Q42:Q43"/>
    <mergeCell ref="P21:P22"/>
    <mergeCell ref="Q21:Q22"/>
    <mergeCell ref="R21:R22"/>
    <mergeCell ref="B44:B45"/>
    <mergeCell ref="L42:L43"/>
    <mergeCell ref="M42:M43"/>
    <mergeCell ref="N42:N43"/>
    <mergeCell ref="O42:O43"/>
    <mergeCell ref="J42:J43"/>
    <mergeCell ref="K42:K43"/>
    <mergeCell ref="I42:I43"/>
    <mergeCell ref="F42:F43"/>
    <mergeCell ref="G42:G43"/>
    <mergeCell ref="B42:B43"/>
    <mergeCell ref="C42:C43"/>
    <mergeCell ref="D42:D43"/>
    <mergeCell ref="E42:E43"/>
    <mergeCell ref="H42:H43"/>
    <mergeCell ref="F91:F92"/>
    <mergeCell ref="G91:G92"/>
    <mergeCell ref="O81:O82"/>
    <mergeCell ref="P81:P82"/>
    <mergeCell ref="Q81:Q82"/>
    <mergeCell ref="R81:R82"/>
    <mergeCell ref="B83:B84"/>
    <mergeCell ref="J81:J82"/>
    <mergeCell ref="K81:K82"/>
    <mergeCell ref="L81:L82"/>
    <mergeCell ref="M81:M82"/>
    <mergeCell ref="N81:N82"/>
    <mergeCell ref="G81:G82"/>
    <mergeCell ref="B81:B82"/>
    <mergeCell ref="C81:C82"/>
    <mergeCell ref="F81:F82"/>
    <mergeCell ref="H81:H82"/>
    <mergeCell ref="I81:I82"/>
    <mergeCell ref="O91:O92"/>
    <mergeCell ref="P91:P92"/>
    <mergeCell ref="H91:H92"/>
    <mergeCell ref="I91:I92"/>
    <mergeCell ref="J91:J92"/>
    <mergeCell ref="K91:K92"/>
    <mergeCell ref="F111:F112"/>
    <mergeCell ref="G111:G112"/>
    <mergeCell ref="O101:O102"/>
    <mergeCell ref="P101:P102"/>
    <mergeCell ref="Q101:Q102"/>
    <mergeCell ref="R101:R102"/>
    <mergeCell ref="B103:B104"/>
    <mergeCell ref="Q91:Q92"/>
    <mergeCell ref="R91:R92"/>
    <mergeCell ref="B93:B94"/>
    <mergeCell ref="B101:B102"/>
    <mergeCell ref="C101:C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L91:L92"/>
    <mergeCell ref="M91:M92"/>
    <mergeCell ref="N91:N92"/>
    <mergeCell ref="L111:L112"/>
    <mergeCell ref="M111:M112"/>
    <mergeCell ref="N111:N112"/>
    <mergeCell ref="O111:O112"/>
    <mergeCell ref="P111:P112"/>
    <mergeCell ref="H111:H112"/>
    <mergeCell ref="I111:I112"/>
    <mergeCell ref="J111:J112"/>
    <mergeCell ref="K111:K112"/>
    <mergeCell ref="B113:B114"/>
    <mergeCell ref="A72:A73"/>
    <mergeCell ref="A74:A75"/>
    <mergeCell ref="D81:D82"/>
    <mergeCell ref="E81:E82"/>
    <mergeCell ref="D91:D92"/>
    <mergeCell ref="E91:E92"/>
    <mergeCell ref="D101:D102"/>
    <mergeCell ref="E101:E102"/>
    <mergeCell ref="D111:D112"/>
    <mergeCell ref="E111:E112"/>
    <mergeCell ref="B111:B112"/>
    <mergeCell ref="C111:C112"/>
    <mergeCell ref="B91:B92"/>
    <mergeCell ref="C91:C92"/>
    <mergeCell ref="A79:A80"/>
    <mergeCell ref="B79:B80"/>
    <mergeCell ref="S111:S112"/>
    <mergeCell ref="T111:T112"/>
    <mergeCell ref="S81:S82"/>
    <mergeCell ref="T81:T82"/>
    <mergeCell ref="S91:S92"/>
    <mergeCell ref="T91:T92"/>
    <mergeCell ref="S101:S102"/>
    <mergeCell ref="T101:T102"/>
    <mergeCell ref="Q111:Q112"/>
    <mergeCell ref="R111:R1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6"/>
  <drawing r:id="rId5"/>
  <legacyDrawing r:id="rId4"/>
  <oleObjects>
    <oleObject progId="Equation.3" shapeId="896707" r:id="rId1"/>
    <oleObject progId="Equation.3" shapeId="896706" r:id="rId2"/>
    <oleObject progId="Equation.3" shapeId="89670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showRowColHeaders="0" tabSelected="1" zoomScale="90" zoomScaleNormal="90" zoomScalePageLayoutView="0" workbookViewId="0" topLeftCell="A1">
      <selection activeCell="I7" sqref="I7"/>
    </sheetView>
  </sheetViews>
  <sheetFormatPr defaultColWidth="9.140625" defaultRowHeight="15"/>
  <cols>
    <col min="1" max="1" width="10.421875" style="0" customWidth="1"/>
    <col min="4" max="4" width="14.8515625" style="0" customWidth="1"/>
  </cols>
  <sheetData>
    <row r="1" spans="1:11" ht="21">
      <c r="A1" s="55" t="s">
        <v>180</v>
      </c>
      <c r="K1" t="s">
        <v>205</v>
      </c>
    </row>
    <row r="3" ht="18.75">
      <c r="A3" s="16" t="s">
        <v>181</v>
      </c>
    </row>
    <row r="5" ht="15">
      <c r="A5" t="s">
        <v>183</v>
      </c>
    </row>
    <row r="7" spans="1:3" ht="18">
      <c r="A7" t="s">
        <v>90</v>
      </c>
      <c r="B7">
        <f>INDEX(Inddata!E3:E93,Inddata!D2)</f>
        <v>357</v>
      </c>
      <c r="C7" s="3" t="s">
        <v>177</v>
      </c>
    </row>
    <row r="9" spans="1:7" ht="18.75">
      <c r="A9" s="16" t="s">
        <v>182</v>
      </c>
      <c r="G9">
        <f>INDEX(Inddata!G3:Inddata!G37,Inddata!G2)</f>
        <v>10</v>
      </c>
    </row>
    <row r="10" ht="15">
      <c r="A10" t="s">
        <v>197</v>
      </c>
    </row>
    <row r="13" spans="1:7" ht="24.75" customHeight="1">
      <c r="A13" s="66" t="s">
        <v>198</v>
      </c>
      <c r="F13" s="56">
        <v>50</v>
      </c>
      <c r="G13" s="57" t="s">
        <v>176</v>
      </c>
    </row>
    <row r="14" ht="15">
      <c r="A14" t="s">
        <v>204</v>
      </c>
    </row>
    <row r="15" ht="15">
      <c r="A15" t="s">
        <v>203</v>
      </c>
    </row>
    <row r="17" spans="1:7" ht="15">
      <c r="A17" t="s">
        <v>184</v>
      </c>
      <c r="F17" s="1">
        <f>B7*F13/10000</f>
        <v>1.785</v>
      </c>
      <c r="G17" t="s">
        <v>88</v>
      </c>
    </row>
    <row r="18" ht="15">
      <c r="F18" s="1"/>
    </row>
    <row r="19" ht="18.75">
      <c r="A19" s="16" t="s">
        <v>185</v>
      </c>
    </row>
    <row r="20" ht="15">
      <c r="A20" t="s">
        <v>202</v>
      </c>
    </row>
    <row r="21" ht="15">
      <c r="A21" t="s">
        <v>201</v>
      </c>
    </row>
    <row r="41" ht="15">
      <c r="A41" s="54" t="s">
        <v>187</v>
      </c>
    </row>
    <row r="42" ht="15">
      <c r="A42" t="s">
        <v>188</v>
      </c>
    </row>
    <row r="43" ht="15">
      <c r="A43" t="s">
        <v>200</v>
      </c>
    </row>
    <row r="45" ht="18.75">
      <c r="A45" s="16" t="s">
        <v>186</v>
      </c>
    </row>
    <row r="46" ht="15">
      <c r="A46" s="58" t="s">
        <v>189</v>
      </c>
    </row>
    <row r="47" ht="15">
      <c r="A47" t="s">
        <v>194</v>
      </c>
    </row>
    <row r="49" spans="1:4" ht="18" customHeight="1">
      <c r="A49" s="85" t="s">
        <v>190</v>
      </c>
      <c r="B49" s="79" t="s">
        <v>199</v>
      </c>
      <c r="C49" s="80"/>
      <c r="D49" s="59" t="s">
        <v>192</v>
      </c>
    </row>
    <row r="50" spans="1:4" ht="18" customHeight="1">
      <c r="A50" s="86"/>
      <c r="B50" s="81"/>
      <c r="C50" s="82"/>
      <c r="D50" s="60"/>
    </row>
    <row r="51" spans="1:4" ht="18" customHeight="1">
      <c r="A51" s="61" t="s">
        <v>191</v>
      </c>
      <c r="B51" s="83"/>
      <c r="C51" s="84"/>
      <c r="D51" s="61" t="s">
        <v>193</v>
      </c>
    </row>
    <row r="52" spans="1:4" ht="15">
      <c r="A52" s="62">
        <v>100</v>
      </c>
      <c r="B52" s="63">
        <v>75</v>
      </c>
      <c r="C52" s="64"/>
      <c r="D52" s="65">
        <v>2.1</v>
      </c>
    </row>
    <row r="53" spans="1:4" ht="15">
      <c r="A53" s="62">
        <v>100</v>
      </c>
      <c r="B53" s="63">
        <v>87</v>
      </c>
      <c r="C53" s="64"/>
      <c r="D53" s="65">
        <v>2.2</v>
      </c>
    </row>
    <row r="54" spans="1:4" ht="15">
      <c r="A54" s="62">
        <v>125</v>
      </c>
      <c r="B54" s="63">
        <v>75</v>
      </c>
      <c r="C54" s="64"/>
      <c r="D54" s="65">
        <v>3.1</v>
      </c>
    </row>
    <row r="55" spans="1:4" ht="15">
      <c r="A55" s="62">
        <v>125</v>
      </c>
      <c r="B55" s="63">
        <v>87</v>
      </c>
      <c r="C55" s="64"/>
      <c r="D55" s="65">
        <v>3</v>
      </c>
    </row>
    <row r="56" spans="1:4" ht="15">
      <c r="A56" s="62">
        <v>125</v>
      </c>
      <c r="B56" s="63">
        <v>100</v>
      </c>
      <c r="C56" s="64"/>
      <c r="D56" s="65">
        <v>3.3</v>
      </c>
    </row>
    <row r="57" spans="1:4" ht="15">
      <c r="A57" s="62">
        <v>150</v>
      </c>
      <c r="B57" s="63">
        <v>87</v>
      </c>
      <c r="C57" s="64"/>
      <c r="D57" s="65">
        <v>4.6</v>
      </c>
    </row>
    <row r="58" spans="1:4" ht="15">
      <c r="A58" s="62">
        <v>150</v>
      </c>
      <c r="B58" s="63">
        <v>100</v>
      </c>
      <c r="C58" s="64"/>
      <c r="D58" s="65">
        <v>5.3</v>
      </c>
    </row>
    <row r="59" spans="1:4" ht="15">
      <c r="A59" s="62">
        <v>150</v>
      </c>
      <c r="B59" s="63">
        <v>111</v>
      </c>
      <c r="C59" s="64"/>
      <c r="D59" s="65">
        <v>6.7</v>
      </c>
    </row>
    <row r="60" spans="1:4" ht="15">
      <c r="A60" s="62">
        <v>150</v>
      </c>
      <c r="B60" s="63">
        <v>120</v>
      </c>
      <c r="C60" s="64"/>
      <c r="D60" s="65">
        <v>7.4</v>
      </c>
    </row>
    <row r="61" spans="1:4" ht="15">
      <c r="A61" s="62">
        <v>190</v>
      </c>
      <c r="B61" s="63">
        <v>100</v>
      </c>
      <c r="C61" s="64"/>
      <c r="D61" s="65">
        <v>9</v>
      </c>
    </row>
    <row r="62" spans="1:4" ht="15">
      <c r="A62" s="62">
        <v>190</v>
      </c>
      <c r="B62" s="63">
        <v>120</v>
      </c>
      <c r="C62" s="64"/>
      <c r="D62" s="65">
        <v>9.2</v>
      </c>
    </row>
    <row r="63" ht="15">
      <c r="A63" s="54" t="s">
        <v>187</v>
      </c>
    </row>
    <row r="64" ht="15">
      <c r="A64" t="s">
        <v>195</v>
      </c>
    </row>
    <row r="65" ht="15">
      <c r="A65" t="s">
        <v>196</v>
      </c>
    </row>
  </sheetData>
  <sheetProtection password="D988" sheet="1" objects="1" scenarios="1"/>
  <mergeCells count="2">
    <mergeCell ref="B49:C51"/>
    <mergeCell ref="A49:A5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51"/>
  <sheetViews>
    <sheetView zoomScalePageLayoutView="0" workbookViewId="0" topLeftCell="C110">
      <pane ySplit="1" topLeftCell="A111" activePane="bottomLeft" state="frozen"/>
      <selection pane="topLeft" activeCell="A110" sqref="A110"/>
      <selection pane="bottomLeft" activeCell="C151" sqref="C151:AK151"/>
    </sheetView>
  </sheetViews>
  <sheetFormatPr defaultColWidth="9.140625" defaultRowHeight="15"/>
  <cols>
    <col min="4" max="35" width="11.7109375" style="0" customWidth="1"/>
  </cols>
  <sheetData>
    <row r="1" spans="4:8" ht="18">
      <c r="D1" t="s">
        <v>175</v>
      </c>
      <c r="E1" s="3" t="s">
        <v>89</v>
      </c>
      <c r="G1" s="3" t="s">
        <v>179</v>
      </c>
      <c r="H1" s="3"/>
    </row>
    <row r="2" spans="4:8" ht="15">
      <c r="D2">
        <v>9</v>
      </c>
      <c r="E2" s="3" t="s">
        <v>177</v>
      </c>
      <c r="G2" s="3">
        <v>15</v>
      </c>
      <c r="H2" s="3"/>
    </row>
    <row r="3" spans="3:12" ht="15">
      <c r="C3" s="3">
        <v>1</v>
      </c>
      <c r="D3" t="s">
        <v>81</v>
      </c>
      <c r="E3" s="3">
        <v>252</v>
      </c>
      <c r="G3" s="5">
        <v>3</v>
      </c>
      <c r="H3" s="3"/>
      <c r="L3" s="53"/>
    </row>
    <row r="4" spans="3:12" ht="15">
      <c r="C4" s="3">
        <f>C3+1</f>
        <v>2</v>
      </c>
      <c r="D4" t="s">
        <v>82</v>
      </c>
      <c r="E4" s="3">
        <v>307</v>
      </c>
      <c r="G4" s="5">
        <f aca="true" t="shared" si="0" ref="G4:G37">G3+0.5</f>
        <v>3.5</v>
      </c>
      <c r="H4" s="3"/>
      <c r="L4" s="53"/>
    </row>
    <row r="5" spans="3:12" ht="15">
      <c r="C5" s="3">
        <f aca="true" t="shared" si="1" ref="C5:C68">C4+1</f>
        <v>3</v>
      </c>
      <c r="D5" t="s">
        <v>83</v>
      </c>
      <c r="E5" s="3">
        <v>339</v>
      </c>
      <c r="G5" s="5">
        <f t="shared" si="0"/>
        <v>4</v>
      </c>
      <c r="H5" s="3"/>
      <c r="L5" s="53"/>
    </row>
    <row r="6" spans="3:12" ht="15">
      <c r="C6" s="3">
        <f t="shared" si="1"/>
        <v>4</v>
      </c>
      <c r="D6" t="s">
        <v>84</v>
      </c>
      <c r="E6" s="3">
        <v>255</v>
      </c>
      <c r="G6" s="5">
        <f t="shared" si="0"/>
        <v>4.5</v>
      </c>
      <c r="H6" s="3"/>
      <c r="L6" s="53"/>
    </row>
    <row r="7" spans="3:12" ht="15">
      <c r="C7" s="3">
        <f t="shared" si="1"/>
        <v>5</v>
      </c>
      <c r="D7" t="s">
        <v>85</v>
      </c>
      <c r="E7" s="3">
        <v>361</v>
      </c>
      <c r="G7" s="5">
        <f t="shared" si="0"/>
        <v>5</v>
      </c>
      <c r="H7" s="3"/>
      <c r="L7" s="53"/>
    </row>
    <row r="8" spans="3:12" ht="15">
      <c r="C8" s="3">
        <f t="shared" si="1"/>
        <v>6</v>
      </c>
      <c r="D8" t="s">
        <v>86</v>
      </c>
      <c r="E8" s="3">
        <v>287</v>
      </c>
      <c r="G8" s="5">
        <f t="shared" si="0"/>
        <v>5.5</v>
      </c>
      <c r="H8" s="3"/>
      <c r="L8" s="53"/>
    </row>
    <row r="9" spans="3:12" ht="15">
      <c r="C9" s="3">
        <f t="shared" si="1"/>
        <v>7</v>
      </c>
      <c r="D9" t="s">
        <v>87</v>
      </c>
      <c r="E9" s="3">
        <v>354</v>
      </c>
      <c r="G9" s="5">
        <f t="shared" si="0"/>
        <v>6</v>
      </c>
      <c r="H9" s="3"/>
      <c r="L9" s="53"/>
    </row>
    <row r="10" spans="3:12" ht="15">
      <c r="C10" s="3">
        <f t="shared" si="1"/>
        <v>8</v>
      </c>
      <c r="D10" t="s">
        <v>92</v>
      </c>
      <c r="E10" s="3">
        <v>317</v>
      </c>
      <c r="G10" s="5">
        <f t="shared" si="0"/>
        <v>6.5</v>
      </c>
      <c r="H10" s="3"/>
      <c r="L10" s="53"/>
    </row>
    <row r="11" spans="3:12" ht="15">
      <c r="C11" s="3">
        <f t="shared" si="1"/>
        <v>9</v>
      </c>
      <c r="D11" t="s">
        <v>93</v>
      </c>
      <c r="E11" s="3">
        <v>357</v>
      </c>
      <c r="G11" s="5">
        <f t="shared" si="0"/>
        <v>7</v>
      </c>
      <c r="H11" s="3"/>
      <c r="L11" s="53"/>
    </row>
    <row r="12" spans="3:12" ht="15">
      <c r="C12" s="3">
        <f t="shared" si="1"/>
        <v>10</v>
      </c>
      <c r="D12" t="s">
        <v>94</v>
      </c>
      <c r="E12" s="3">
        <v>371</v>
      </c>
      <c r="G12" s="5">
        <f t="shared" si="0"/>
        <v>7.5</v>
      </c>
      <c r="H12" s="3"/>
      <c r="L12" s="53"/>
    </row>
    <row r="13" spans="3:12" ht="15">
      <c r="C13" s="3">
        <f t="shared" si="1"/>
        <v>11</v>
      </c>
      <c r="D13" t="s">
        <v>95</v>
      </c>
      <c r="E13" s="3">
        <v>285</v>
      </c>
      <c r="G13" s="5">
        <f t="shared" si="0"/>
        <v>8</v>
      </c>
      <c r="H13" s="3"/>
      <c r="L13" s="53"/>
    </row>
    <row r="14" spans="3:12" ht="15">
      <c r="C14" s="3">
        <f t="shared" si="1"/>
        <v>12</v>
      </c>
      <c r="D14" t="s">
        <v>96</v>
      </c>
      <c r="E14" s="3">
        <v>217</v>
      </c>
      <c r="G14" s="5">
        <f t="shared" si="0"/>
        <v>8.5</v>
      </c>
      <c r="H14" s="3"/>
      <c r="L14" s="53"/>
    </row>
    <row r="15" spans="3:12" ht="15">
      <c r="C15" s="3">
        <f t="shared" si="1"/>
        <v>13</v>
      </c>
      <c r="D15" t="s">
        <v>97</v>
      </c>
      <c r="E15" s="3">
        <v>299</v>
      </c>
      <c r="G15" s="5">
        <f t="shared" si="0"/>
        <v>9</v>
      </c>
      <c r="H15" s="3"/>
      <c r="L15" s="53"/>
    </row>
    <row r="16" spans="3:12" ht="15">
      <c r="C16" s="3">
        <f t="shared" si="1"/>
        <v>14</v>
      </c>
      <c r="D16" t="s">
        <v>98</v>
      </c>
      <c r="E16" s="3">
        <v>307</v>
      </c>
      <c r="G16" s="5">
        <f t="shared" si="0"/>
        <v>9.5</v>
      </c>
      <c r="H16" s="3"/>
      <c r="L16" s="53"/>
    </row>
    <row r="17" spans="3:12" ht="15">
      <c r="C17" s="3">
        <f t="shared" si="1"/>
        <v>15</v>
      </c>
      <c r="D17" t="s">
        <v>99</v>
      </c>
      <c r="E17" s="3">
        <v>205</v>
      </c>
      <c r="G17" s="5">
        <f t="shared" si="0"/>
        <v>10</v>
      </c>
      <c r="H17" s="3"/>
      <c r="L17" s="53"/>
    </row>
    <row r="18" spans="3:12" ht="15">
      <c r="C18" s="3">
        <f t="shared" si="1"/>
        <v>16</v>
      </c>
      <c r="D18" t="s">
        <v>100</v>
      </c>
      <c r="E18" s="3">
        <v>274</v>
      </c>
      <c r="G18" s="5">
        <f t="shared" si="0"/>
        <v>10.5</v>
      </c>
      <c r="H18" s="3"/>
      <c r="L18" s="53"/>
    </row>
    <row r="19" spans="3:12" ht="15">
      <c r="C19" s="3">
        <f t="shared" si="1"/>
        <v>17</v>
      </c>
      <c r="D19" t="s">
        <v>101</v>
      </c>
      <c r="E19" s="3">
        <v>346</v>
      </c>
      <c r="G19" s="5">
        <f t="shared" si="0"/>
        <v>11</v>
      </c>
      <c r="H19" s="3"/>
      <c r="L19" s="53"/>
    </row>
    <row r="20" spans="3:12" ht="15">
      <c r="C20" s="3">
        <f t="shared" si="1"/>
        <v>18</v>
      </c>
      <c r="D20" t="s">
        <v>102</v>
      </c>
      <c r="E20" s="3">
        <v>286</v>
      </c>
      <c r="G20" s="5">
        <f t="shared" si="0"/>
        <v>11.5</v>
      </c>
      <c r="H20" s="3"/>
      <c r="L20" s="53"/>
    </row>
    <row r="21" spans="3:12" ht="15">
      <c r="C21" s="3">
        <f t="shared" si="1"/>
        <v>19</v>
      </c>
      <c r="D21" t="s">
        <v>103</v>
      </c>
      <c r="E21" s="3">
        <v>277</v>
      </c>
      <c r="G21" s="5">
        <f t="shared" si="0"/>
        <v>12</v>
      </c>
      <c r="H21" s="3"/>
      <c r="L21" s="53"/>
    </row>
    <row r="22" spans="3:12" ht="15">
      <c r="C22" s="3">
        <f t="shared" si="1"/>
        <v>20</v>
      </c>
      <c r="D22" t="s">
        <v>104</v>
      </c>
      <c r="E22" s="3">
        <v>313</v>
      </c>
      <c r="G22" s="5">
        <f t="shared" si="0"/>
        <v>12.5</v>
      </c>
      <c r="H22" s="3"/>
      <c r="L22" s="53"/>
    </row>
    <row r="23" spans="3:12" ht="15">
      <c r="C23" s="3">
        <f t="shared" si="1"/>
        <v>21</v>
      </c>
      <c r="D23" t="s">
        <v>105</v>
      </c>
      <c r="E23" s="3">
        <v>303</v>
      </c>
      <c r="G23" s="5">
        <f t="shared" si="0"/>
        <v>13</v>
      </c>
      <c r="H23" s="3"/>
      <c r="L23" s="53"/>
    </row>
    <row r="24" spans="3:12" ht="15">
      <c r="C24" s="3">
        <f t="shared" si="1"/>
        <v>22</v>
      </c>
      <c r="D24" t="s">
        <v>106</v>
      </c>
      <c r="E24" s="3">
        <v>323</v>
      </c>
      <c r="G24" s="5">
        <f t="shared" si="0"/>
        <v>13.5</v>
      </c>
      <c r="H24" s="3"/>
      <c r="L24" s="53"/>
    </row>
    <row r="25" spans="3:12" ht="15">
      <c r="C25" s="3">
        <f t="shared" si="1"/>
        <v>23</v>
      </c>
      <c r="D25" t="s">
        <v>107</v>
      </c>
      <c r="E25" s="3">
        <v>268</v>
      </c>
      <c r="G25" s="5">
        <f t="shared" si="0"/>
        <v>14</v>
      </c>
      <c r="H25" s="3"/>
      <c r="L25" s="53"/>
    </row>
    <row r="26" spans="3:12" ht="15">
      <c r="C26" s="3">
        <f t="shared" si="1"/>
        <v>24</v>
      </c>
      <c r="D26" t="s">
        <v>108</v>
      </c>
      <c r="E26" s="3">
        <v>316</v>
      </c>
      <c r="G26" s="5">
        <f t="shared" si="0"/>
        <v>14.5</v>
      </c>
      <c r="H26" s="3"/>
      <c r="L26" s="53"/>
    </row>
    <row r="27" spans="3:12" ht="15">
      <c r="C27" s="3">
        <f t="shared" si="1"/>
        <v>25</v>
      </c>
      <c r="D27" t="s">
        <v>109</v>
      </c>
      <c r="E27" s="3">
        <v>293</v>
      </c>
      <c r="G27" s="5">
        <f t="shared" si="0"/>
        <v>15</v>
      </c>
      <c r="H27" s="3"/>
      <c r="L27" s="53"/>
    </row>
    <row r="28" spans="3:12" ht="15">
      <c r="C28" s="3">
        <f t="shared" si="1"/>
        <v>26</v>
      </c>
      <c r="D28" t="s">
        <v>110</v>
      </c>
      <c r="E28" s="3">
        <v>282</v>
      </c>
      <c r="G28" s="5">
        <f t="shared" si="0"/>
        <v>15.5</v>
      </c>
      <c r="H28" s="3"/>
      <c r="L28" s="53"/>
    </row>
    <row r="29" spans="3:12" ht="15">
      <c r="C29" s="3">
        <f t="shared" si="1"/>
        <v>27</v>
      </c>
      <c r="D29" t="s">
        <v>111</v>
      </c>
      <c r="E29" s="3">
        <v>255</v>
      </c>
      <c r="G29" s="5">
        <f t="shared" si="0"/>
        <v>16</v>
      </c>
      <c r="H29" s="3"/>
      <c r="L29" s="53"/>
    </row>
    <row r="30" spans="3:12" ht="15">
      <c r="C30" s="3">
        <f t="shared" si="1"/>
        <v>28</v>
      </c>
      <c r="D30" t="s">
        <v>112</v>
      </c>
      <c r="E30" s="3">
        <v>320</v>
      </c>
      <c r="G30" s="5">
        <f t="shared" si="0"/>
        <v>16.5</v>
      </c>
      <c r="H30" s="3"/>
      <c r="L30" s="53"/>
    </row>
    <row r="31" spans="3:12" ht="15">
      <c r="C31" s="3">
        <f t="shared" si="1"/>
        <v>29</v>
      </c>
      <c r="D31" t="s">
        <v>113</v>
      </c>
      <c r="E31" s="3">
        <v>281</v>
      </c>
      <c r="G31" s="5">
        <f t="shared" si="0"/>
        <v>17</v>
      </c>
      <c r="H31" s="3"/>
      <c r="L31" s="53"/>
    </row>
    <row r="32" spans="3:12" ht="15">
      <c r="C32" s="3">
        <f t="shared" si="1"/>
        <v>30</v>
      </c>
      <c r="D32" t="s">
        <v>114</v>
      </c>
      <c r="E32" s="3">
        <v>329</v>
      </c>
      <c r="G32" s="5">
        <f t="shared" si="0"/>
        <v>17.5</v>
      </c>
      <c r="H32" s="3"/>
      <c r="L32" s="53"/>
    </row>
    <row r="33" spans="3:12" ht="45">
      <c r="C33" s="3">
        <f t="shared" si="1"/>
        <v>31</v>
      </c>
      <c r="D33" s="52" t="s">
        <v>115</v>
      </c>
      <c r="E33" s="3">
        <v>292</v>
      </c>
      <c r="F33" s="52"/>
      <c r="G33" s="5">
        <f t="shared" si="0"/>
        <v>18</v>
      </c>
      <c r="H33" s="3"/>
      <c r="L33" s="53"/>
    </row>
    <row r="34" spans="3:12" ht="15">
      <c r="C34" s="3">
        <f t="shared" si="1"/>
        <v>32</v>
      </c>
      <c r="D34" t="s">
        <v>116</v>
      </c>
      <c r="E34" s="3">
        <v>340</v>
      </c>
      <c r="G34" s="5">
        <f t="shared" si="0"/>
        <v>18.5</v>
      </c>
      <c r="H34" s="3"/>
      <c r="L34" s="53"/>
    </row>
    <row r="35" spans="3:12" ht="15">
      <c r="C35" s="3">
        <f t="shared" si="1"/>
        <v>33</v>
      </c>
      <c r="D35" t="s">
        <v>117</v>
      </c>
      <c r="E35" s="3">
        <v>310</v>
      </c>
      <c r="G35" s="5">
        <f t="shared" si="0"/>
        <v>19</v>
      </c>
      <c r="H35" s="3"/>
      <c r="L35" s="53"/>
    </row>
    <row r="36" spans="3:12" ht="15">
      <c r="C36" s="3">
        <f t="shared" si="1"/>
        <v>34</v>
      </c>
      <c r="D36" t="s">
        <v>118</v>
      </c>
      <c r="E36" s="3">
        <v>310</v>
      </c>
      <c r="G36" s="5">
        <f t="shared" si="0"/>
        <v>19.5</v>
      </c>
      <c r="H36" s="3"/>
      <c r="L36" s="53"/>
    </row>
    <row r="37" spans="3:12" ht="15">
      <c r="C37" s="3">
        <f>C36+1</f>
        <v>35</v>
      </c>
      <c r="D37" t="s">
        <v>119</v>
      </c>
      <c r="E37" s="3">
        <v>316</v>
      </c>
      <c r="G37" s="5">
        <f t="shared" si="0"/>
        <v>20</v>
      </c>
      <c r="H37" s="3"/>
      <c r="L37" s="53"/>
    </row>
    <row r="38" spans="3:12" ht="15">
      <c r="C38" s="3">
        <f t="shared" si="1"/>
        <v>36</v>
      </c>
      <c r="D38" t="s">
        <v>120</v>
      </c>
      <c r="E38" s="3">
        <v>313</v>
      </c>
      <c r="G38" s="3"/>
      <c r="H38" s="3"/>
      <c r="K38" s="53"/>
      <c r="L38" s="53"/>
    </row>
    <row r="39" spans="3:12" ht="15">
      <c r="C39" s="3">
        <f t="shared" si="1"/>
        <v>37</v>
      </c>
      <c r="D39" t="s">
        <v>121</v>
      </c>
      <c r="E39" s="3">
        <v>266</v>
      </c>
      <c r="G39" s="3"/>
      <c r="H39" s="3"/>
      <c r="K39" s="53"/>
      <c r="L39" s="53"/>
    </row>
    <row r="40" spans="3:12" ht="15">
      <c r="C40" s="3">
        <f t="shared" si="1"/>
        <v>38</v>
      </c>
      <c r="D40" t="s">
        <v>122</v>
      </c>
      <c r="E40" s="3">
        <v>307</v>
      </c>
      <c r="G40" s="3"/>
      <c r="H40" s="3"/>
      <c r="K40" s="53"/>
      <c r="L40" s="53"/>
    </row>
    <row r="41" spans="3:12" ht="15">
      <c r="C41" s="3">
        <f t="shared" si="1"/>
        <v>39</v>
      </c>
      <c r="D41" t="s">
        <v>123</v>
      </c>
      <c r="E41" s="3">
        <v>313</v>
      </c>
      <c r="G41" s="3"/>
      <c r="H41" s="3"/>
      <c r="K41" s="53"/>
      <c r="L41" s="53"/>
    </row>
    <row r="42" spans="3:12" ht="15">
      <c r="C42" s="3">
        <f t="shared" si="1"/>
        <v>40</v>
      </c>
      <c r="D42" t="s">
        <v>124</v>
      </c>
      <c r="E42" s="3">
        <v>328</v>
      </c>
      <c r="G42" s="3"/>
      <c r="H42" s="3"/>
      <c r="K42" s="53"/>
      <c r="L42" s="53"/>
    </row>
    <row r="43" spans="3:12" ht="15">
      <c r="C43" s="3">
        <f t="shared" si="1"/>
        <v>41</v>
      </c>
      <c r="D43" t="s">
        <v>125</v>
      </c>
      <c r="E43" s="3">
        <v>355</v>
      </c>
      <c r="H43" s="3"/>
      <c r="K43" s="53"/>
      <c r="L43" s="53"/>
    </row>
    <row r="44" spans="3:12" ht="15">
      <c r="C44" s="3">
        <f t="shared" si="1"/>
        <v>42</v>
      </c>
      <c r="D44" t="s">
        <v>126</v>
      </c>
      <c r="E44" s="3">
        <v>303</v>
      </c>
      <c r="H44" s="3"/>
      <c r="K44" s="53"/>
      <c r="L44" s="53"/>
    </row>
    <row r="45" spans="3:12" ht="15">
      <c r="C45" s="3">
        <f t="shared" si="1"/>
        <v>43</v>
      </c>
      <c r="D45" t="s">
        <v>127</v>
      </c>
      <c r="E45" s="3">
        <v>319</v>
      </c>
      <c r="H45" s="3"/>
      <c r="K45" s="53"/>
      <c r="L45" s="53"/>
    </row>
    <row r="46" spans="3:8" ht="15">
      <c r="C46" s="3">
        <f t="shared" si="1"/>
        <v>44</v>
      </c>
      <c r="D46" t="s">
        <v>128</v>
      </c>
      <c r="E46" s="3">
        <v>293</v>
      </c>
      <c r="H46" s="3"/>
    </row>
    <row r="47" spans="3:8" ht="15">
      <c r="C47" s="3">
        <f t="shared" si="1"/>
        <v>45</v>
      </c>
      <c r="D47" t="s">
        <v>129</v>
      </c>
      <c r="E47" s="3">
        <v>269</v>
      </c>
      <c r="H47" s="3"/>
    </row>
    <row r="48" spans="3:8" ht="15">
      <c r="C48" s="3">
        <f t="shared" si="1"/>
        <v>46</v>
      </c>
      <c r="D48" t="s">
        <v>130</v>
      </c>
      <c r="E48" s="3">
        <v>345</v>
      </c>
      <c r="H48" s="3"/>
    </row>
    <row r="49" spans="3:8" ht="15">
      <c r="C49" s="3">
        <f t="shared" si="1"/>
        <v>47</v>
      </c>
      <c r="D49" t="s">
        <v>131</v>
      </c>
      <c r="E49" s="3">
        <v>337</v>
      </c>
      <c r="H49" s="3"/>
    </row>
    <row r="50" spans="3:8" ht="15">
      <c r="C50" s="3">
        <f t="shared" si="1"/>
        <v>48</v>
      </c>
      <c r="D50" t="s">
        <v>132</v>
      </c>
      <c r="E50" s="3">
        <v>302</v>
      </c>
      <c r="H50" s="3"/>
    </row>
    <row r="51" spans="3:8" ht="15">
      <c r="C51" s="3">
        <f t="shared" si="1"/>
        <v>49</v>
      </c>
      <c r="D51" t="s">
        <v>133</v>
      </c>
      <c r="E51" s="3">
        <v>239</v>
      </c>
      <c r="H51" s="3"/>
    </row>
    <row r="52" spans="3:8" ht="15">
      <c r="C52" s="3">
        <f t="shared" si="1"/>
        <v>50</v>
      </c>
      <c r="D52" t="s">
        <v>134</v>
      </c>
      <c r="E52" s="3">
        <v>323</v>
      </c>
      <c r="H52" s="3"/>
    </row>
    <row r="53" spans="3:8" ht="15">
      <c r="C53" s="3">
        <f t="shared" si="1"/>
        <v>51</v>
      </c>
      <c r="D53" t="s">
        <v>135</v>
      </c>
      <c r="E53" s="3">
        <v>312</v>
      </c>
      <c r="H53" s="3"/>
    </row>
    <row r="54" spans="3:8" ht="15">
      <c r="C54" s="3">
        <f t="shared" si="1"/>
        <v>52</v>
      </c>
      <c r="D54" t="s">
        <v>136</v>
      </c>
      <c r="E54" s="3">
        <v>327</v>
      </c>
      <c r="H54" s="3"/>
    </row>
    <row r="55" spans="3:8" ht="15">
      <c r="C55" s="3">
        <f t="shared" si="1"/>
        <v>53</v>
      </c>
      <c r="D55" t="s">
        <v>137</v>
      </c>
      <c r="E55" s="3">
        <v>365</v>
      </c>
      <c r="H55" s="3"/>
    </row>
    <row r="56" spans="3:8" ht="15">
      <c r="C56" s="3">
        <f t="shared" si="1"/>
        <v>54</v>
      </c>
      <c r="D56" t="s">
        <v>138</v>
      </c>
      <c r="E56" s="3">
        <v>326</v>
      </c>
      <c r="H56" s="3"/>
    </row>
    <row r="57" spans="3:8" ht="15">
      <c r="C57" s="3">
        <f t="shared" si="1"/>
        <v>55</v>
      </c>
      <c r="D57" t="s">
        <v>139</v>
      </c>
      <c r="E57" s="3">
        <v>342</v>
      </c>
      <c r="H57" s="3"/>
    </row>
    <row r="58" spans="3:8" ht="15">
      <c r="C58" s="3">
        <f t="shared" si="1"/>
        <v>56</v>
      </c>
      <c r="D58" t="s">
        <v>140</v>
      </c>
      <c r="E58" s="3">
        <v>293</v>
      </c>
      <c r="H58" s="3"/>
    </row>
    <row r="59" spans="3:8" ht="15">
      <c r="C59" s="3">
        <f t="shared" si="1"/>
        <v>57</v>
      </c>
      <c r="D59" t="s">
        <v>141</v>
      </c>
      <c r="E59" s="3">
        <v>333</v>
      </c>
      <c r="H59" s="3"/>
    </row>
    <row r="60" spans="3:8" ht="15">
      <c r="C60" s="3">
        <f t="shared" si="1"/>
        <v>58</v>
      </c>
      <c r="D60" t="s">
        <v>142</v>
      </c>
      <c r="E60" s="3">
        <v>308</v>
      </c>
      <c r="H60" s="3"/>
    </row>
    <row r="61" spans="3:8" ht="15">
      <c r="C61" s="3">
        <f t="shared" si="1"/>
        <v>59</v>
      </c>
      <c r="D61" t="s">
        <v>143</v>
      </c>
      <c r="E61" s="3">
        <v>285</v>
      </c>
      <c r="H61" s="3"/>
    </row>
    <row r="62" spans="3:8" ht="15">
      <c r="C62" s="3">
        <f t="shared" si="1"/>
        <v>60</v>
      </c>
      <c r="D62" t="s">
        <v>144</v>
      </c>
      <c r="E62" s="3">
        <v>309</v>
      </c>
      <c r="H62" s="3"/>
    </row>
    <row r="63" spans="3:8" ht="15">
      <c r="C63" s="3">
        <f t="shared" si="1"/>
        <v>61</v>
      </c>
      <c r="D63" t="s">
        <v>145</v>
      </c>
      <c r="E63" s="3">
        <v>320</v>
      </c>
      <c r="H63" s="3"/>
    </row>
    <row r="64" spans="3:8" ht="15">
      <c r="C64" s="3">
        <f t="shared" si="1"/>
        <v>62</v>
      </c>
      <c r="D64" t="s">
        <v>146</v>
      </c>
      <c r="E64" s="3">
        <v>270</v>
      </c>
      <c r="H64" s="3"/>
    </row>
    <row r="65" spans="3:8" ht="15">
      <c r="C65" s="3">
        <f t="shared" si="1"/>
        <v>63</v>
      </c>
      <c r="D65" t="s">
        <v>147</v>
      </c>
      <c r="E65" s="3">
        <v>353</v>
      </c>
      <c r="H65" s="3"/>
    </row>
    <row r="66" spans="3:8" ht="15">
      <c r="C66" s="3">
        <f t="shared" si="1"/>
        <v>64</v>
      </c>
      <c r="D66" t="s">
        <v>148</v>
      </c>
      <c r="E66" s="3">
        <v>307</v>
      </c>
      <c r="H66" s="3"/>
    </row>
    <row r="67" spans="3:8" ht="15">
      <c r="C67" s="3">
        <f t="shared" si="1"/>
        <v>65</v>
      </c>
      <c r="D67" t="s">
        <v>149</v>
      </c>
      <c r="E67" s="3">
        <v>365</v>
      </c>
      <c r="H67" s="3"/>
    </row>
    <row r="68" spans="3:8" ht="30">
      <c r="C68" s="3">
        <f t="shared" si="1"/>
        <v>66</v>
      </c>
      <c r="D68" s="52" t="s">
        <v>150</v>
      </c>
      <c r="E68" s="3">
        <v>345</v>
      </c>
      <c r="F68" s="52"/>
      <c r="H68" s="3"/>
    </row>
    <row r="69" spans="3:8" ht="15">
      <c r="C69" s="3">
        <f aca="true" t="shared" si="2" ref="C69:C92">C68+1</f>
        <v>67</v>
      </c>
      <c r="D69" t="s">
        <v>151</v>
      </c>
      <c r="E69" s="3">
        <v>317</v>
      </c>
      <c r="H69" s="3"/>
    </row>
    <row r="70" spans="3:8" ht="15">
      <c r="C70" s="3">
        <f t="shared" si="2"/>
        <v>68</v>
      </c>
      <c r="D70" t="s">
        <v>152</v>
      </c>
      <c r="E70" s="3">
        <v>258</v>
      </c>
      <c r="H70" s="3"/>
    </row>
    <row r="71" spans="3:8" ht="15">
      <c r="C71" s="3">
        <f t="shared" si="2"/>
        <v>69</v>
      </c>
      <c r="D71" t="s">
        <v>153</v>
      </c>
      <c r="E71" s="3">
        <v>337</v>
      </c>
      <c r="H71" s="3"/>
    </row>
    <row r="72" spans="3:8" ht="15">
      <c r="C72" s="3">
        <f t="shared" si="2"/>
        <v>70</v>
      </c>
      <c r="D72" t="s">
        <v>154</v>
      </c>
      <c r="E72" s="3">
        <v>336</v>
      </c>
      <c r="H72" s="3"/>
    </row>
    <row r="73" spans="3:8" ht="15">
      <c r="C73" s="3">
        <f t="shared" si="2"/>
        <v>71</v>
      </c>
      <c r="D73" t="s">
        <v>155</v>
      </c>
      <c r="E73" s="3">
        <v>348</v>
      </c>
      <c r="H73" s="3"/>
    </row>
    <row r="74" spans="3:8" ht="15">
      <c r="C74" s="3">
        <f t="shared" si="2"/>
        <v>72</v>
      </c>
      <c r="D74" t="s">
        <v>156</v>
      </c>
      <c r="E74" s="3">
        <v>323</v>
      </c>
      <c r="H74" s="3"/>
    </row>
    <row r="75" spans="3:8" ht="15">
      <c r="C75" s="3">
        <f t="shared" si="2"/>
        <v>73</v>
      </c>
      <c r="D75" t="s">
        <v>157</v>
      </c>
      <c r="E75" s="3">
        <v>345</v>
      </c>
      <c r="H75" s="3"/>
    </row>
    <row r="76" spans="3:8" ht="15">
      <c r="C76" s="3">
        <f t="shared" si="2"/>
        <v>74</v>
      </c>
      <c r="D76" t="s">
        <v>158</v>
      </c>
      <c r="E76" s="3">
        <v>303</v>
      </c>
      <c r="H76" s="3"/>
    </row>
    <row r="77" spans="3:8" ht="15">
      <c r="C77" s="3">
        <f t="shared" si="2"/>
        <v>75</v>
      </c>
      <c r="D77" t="s">
        <v>159</v>
      </c>
      <c r="E77" s="3">
        <v>452</v>
      </c>
      <c r="H77" s="3"/>
    </row>
    <row r="78" spans="3:8" ht="15">
      <c r="C78" s="3">
        <f t="shared" si="2"/>
        <v>76</v>
      </c>
      <c r="D78" t="s">
        <v>160</v>
      </c>
      <c r="E78" s="3">
        <v>230</v>
      </c>
      <c r="H78" s="3"/>
    </row>
    <row r="79" spans="3:8" ht="15">
      <c r="C79" s="3">
        <f t="shared" si="2"/>
        <v>77</v>
      </c>
      <c r="D79" t="s">
        <v>161</v>
      </c>
      <c r="E79" s="3">
        <v>285</v>
      </c>
      <c r="H79" s="3"/>
    </row>
    <row r="80" spans="3:8" ht="15">
      <c r="C80" s="3">
        <f t="shared" si="2"/>
        <v>78</v>
      </c>
      <c r="D80" t="s">
        <v>162</v>
      </c>
      <c r="E80" s="3">
        <v>260</v>
      </c>
      <c r="H80" s="3"/>
    </row>
    <row r="81" spans="3:8" ht="15">
      <c r="C81" s="3">
        <f t="shared" si="2"/>
        <v>79</v>
      </c>
      <c r="D81" t="s">
        <v>163</v>
      </c>
      <c r="E81" s="3">
        <v>299</v>
      </c>
      <c r="H81" s="3"/>
    </row>
    <row r="82" spans="3:8" ht="15">
      <c r="C82" s="3">
        <f t="shared" si="2"/>
        <v>80</v>
      </c>
      <c r="D82" t="s">
        <v>164</v>
      </c>
      <c r="E82" s="3">
        <v>286</v>
      </c>
      <c r="H82" s="3"/>
    </row>
    <row r="83" spans="3:8" ht="15">
      <c r="C83" s="3">
        <f t="shared" si="2"/>
        <v>81</v>
      </c>
      <c r="D83" t="s">
        <v>165</v>
      </c>
      <c r="E83" s="3">
        <v>302</v>
      </c>
      <c r="H83" s="3"/>
    </row>
    <row r="84" spans="3:8" ht="15">
      <c r="C84" s="3">
        <f t="shared" si="2"/>
        <v>82</v>
      </c>
      <c r="D84" t="s">
        <v>166</v>
      </c>
      <c r="E84" s="3">
        <v>336</v>
      </c>
      <c r="H84" s="3"/>
    </row>
    <row r="85" spans="3:8" ht="15">
      <c r="C85" s="3">
        <f t="shared" si="2"/>
        <v>83</v>
      </c>
      <c r="D85" t="s">
        <v>167</v>
      </c>
      <c r="E85" s="3">
        <v>446</v>
      </c>
      <c r="H85" s="3"/>
    </row>
    <row r="86" spans="3:8" ht="15">
      <c r="C86" s="3">
        <f t="shared" si="2"/>
        <v>84</v>
      </c>
      <c r="D86" t="s">
        <v>168</v>
      </c>
      <c r="E86" s="3">
        <v>310</v>
      </c>
      <c r="H86" s="3"/>
    </row>
    <row r="87" spans="3:8" ht="15">
      <c r="C87" s="3">
        <f t="shared" si="2"/>
        <v>85</v>
      </c>
      <c r="D87" t="s">
        <v>169</v>
      </c>
      <c r="E87" s="3">
        <v>316</v>
      </c>
      <c r="H87" s="3"/>
    </row>
    <row r="88" spans="3:8" ht="45">
      <c r="C88" s="3">
        <f t="shared" si="2"/>
        <v>86</v>
      </c>
      <c r="D88" s="52" t="s">
        <v>170</v>
      </c>
      <c r="E88" s="3">
        <v>371</v>
      </c>
      <c r="F88" s="52"/>
      <c r="H88" s="3"/>
    </row>
    <row r="89" spans="3:8" ht="15">
      <c r="C89" s="3">
        <f t="shared" si="2"/>
        <v>87</v>
      </c>
      <c r="D89" t="s">
        <v>171</v>
      </c>
      <c r="E89" s="3">
        <v>349</v>
      </c>
      <c r="H89" s="3"/>
    </row>
    <row r="90" spans="3:8" ht="15">
      <c r="C90" s="3">
        <f t="shared" si="2"/>
        <v>88</v>
      </c>
      <c r="D90" t="s">
        <v>172</v>
      </c>
      <c r="E90" s="3">
        <v>260</v>
      </c>
      <c r="H90" s="3"/>
    </row>
    <row r="91" spans="3:8" ht="15">
      <c r="C91" s="3">
        <f t="shared" si="2"/>
        <v>89</v>
      </c>
      <c r="D91" t="s">
        <v>173</v>
      </c>
      <c r="E91" s="3">
        <v>314</v>
      </c>
      <c r="H91" s="3"/>
    </row>
    <row r="92" spans="3:8" ht="15">
      <c r="C92" s="3">
        <f t="shared" si="2"/>
        <v>90</v>
      </c>
      <c r="D92" t="s">
        <v>174</v>
      </c>
      <c r="E92" s="3">
        <v>361</v>
      </c>
      <c r="H92" s="3"/>
    </row>
    <row r="93" spans="4:5" ht="15">
      <c r="D93" t="s">
        <v>91</v>
      </c>
      <c r="E93" t="s">
        <v>91</v>
      </c>
    </row>
    <row r="95" spans="1:18" ht="15">
      <c r="A95" s="17" t="s">
        <v>28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5">
      <c r="A96" s="18" t="s">
        <v>29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22" ht="15">
      <c r="A97" t="s">
        <v>31</v>
      </c>
      <c r="B97" s="3">
        <v>50</v>
      </c>
      <c r="C97" s="3">
        <f aca="true" t="shared" si="3" ref="C97:S97">B97+25</f>
        <v>75</v>
      </c>
      <c r="D97" s="3">
        <f t="shared" si="3"/>
        <v>100</v>
      </c>
      <c r="E97" s="3">
        <f t="shared" si="3"/>
        <v>125</v>
      </c>
      <c r="F97" s="3">
        <f t="shared" si="3"/>
        <v>150</v>
      </c>
      <c r="G97" s="3">
        <f t="shared" si="3"/>
        <v>175</v>
      </c>
      <c r="H97" s="3">
        <f t="shared" si="3"/>
        <v>200</v>
      </c>
      <c r="I97" s="3">
        <f t="shared" si="3"/>
        <v>225</v>
      </c>
      <c r="J97" s="3">
        <f t="shared" si="3"/>
        <v>250</v>
      </c>
      <c r="K97" s="3">
        <f t="shared" si="3"/>
        <v>275</v>
      </c>
      <c r="L97" s="3">
        <f t="shared" si="3"/>
        <v>300</v>
      </c>
      <c r="M97" s="3">
        <f t="shared" si="3"/>
        <v>325</v>
      </c>
      <c r="N97" s="3">
        <f t="shared" si="3"/>
        <v>350</v>
      </c>
      <c r="O97" s="3">
        <f t="shared" si="3"/>
        <v>375</v>
      </c>
      <c r="P97" s="3">
        <f t="shared" si="3"/>
        <v>400</v>
      </c>
      <c r="Q97" s="3">
        <f t="shared" si="3"/>
        <v>425</v>
      </c>
      <c r="R97" s="3">
        <f t="shared" si="3"/>
        <v>450</v>
      </c>
      <c r="S97" s="3">
        <f t="shared" si="3"/>
        <v>475</v>
      </c>
      <c r="T97" s="3"/>
      <c r="U97" s="3">
        <f>S97+25</f>
        <v>500</v>
      </c>
      <c r="V97" s="3"/>
    </row>
    <row r="98" spans="1:23" ht="18">
      <c r="A98" t="s">
        <v>30</v>
      </c>
      <c r="B98" s="19">
        <v>1</v>
      </c>
      <c r="C98" s="19">
        <v>0.97</v>
      </c>
      <c r="D98" s="19">
        <v>0.93</v>
      </c>
      <c r="E98" s="19">
        <v>0.9</v>
      </c>
      <c r="F98" s="21">
        <v>0.86</v>
      </c>
      <c r="G98" s="19">
        <v>0.83</v>
      </c>
      <c r="H98" s="19">
        <v>0.8</v>
      </c>
      <c r="I98" s="19">
        <v>0.78</v>
      </c>
      <c r="J98" s="19">
        <v>0.77</v>
      </c>
      <c r="K98" s="19">
        <v>0.75</v>
      </c>
      <c r="L98" s="19">
        <v>0.73</v>
      </c>
      <c r="M98" s="19">
        <v>0.72</v>
      </c>
      <c r="N98" s="19">
        <v>0.7</v>
      </c>
      <c r="O98" s="19">
        <v>0.68</v>
      </c>
      <c r="P98" s="19">
        <v>0.67</v>
      </c>
      <c r="Q98" s="19">
        <v>0.65</v>
      </c>
      <c r="R98" s="19">
        <v>0.63</v>
      </c>
      <c r="S98" s="19">
        <v>0.62</v>
      </c>
      <c r="T98" s="19"/>
      <c r="U98" s="19">
        <v>0.6</v>
      </c>
      <c r="V98" s="19"/>
      <c r="W98" t="s">
        <v>47</v>
      </c>
    </row>
    <row r="99" spans="1:23" ht="18">
      <c r="A99" t="s">
        <v>45</v>
      </c>
      <c r="B99" s="51">
        <f>IF(B97&gt;=50,IF(B97&lt;=200,$C103*(B97-50)+1,$C105*(B97-200)+0.8),1)</f>
        <v>1</v>
      </c>
      <c r="C99" s="51">
        <f>IF(C97&gt;=50,IF(C97&lt;=200,$C103*(C97-50)+1,$C105*(C97-200)+0.8),1)</f>
        <v>0.9666666666666667</v>
      </c>
      <c r="D99" s="51">
        <f aca="true" t="shared" si="4" ref="D99:S99">IF(D97&gt;=50,IF(D97&lt;=200,$C103*(D97-50)+1,$C105*(D97-200)+0.8),1)</f>
        <v>0.9333333333333333</v>
      </c>
      <c r="E99" s="51">
        <f t="shared" si="4"/>
        <v>0.9</v>
      </c>
      <c r="F99" s="51">
        <f t="shared" si="4"/>
        <v>0.8666666666666667</v>
      </c>
      <c r="G99" s="51">
        <f t="shared" si="4"/>
        <v>0.8333333333333334</v>
      </c>
      <c r="H99" s="51">
        <f t="shared" si="4"/>
        <v>0.8</v>
      </c>
      <c r="I99" s="51">
        <f t="shared" si="4"/>
        <v>0.7833333333333333</v>
      </c>
      <c r="J99" s="51">
        <f t="shared" si="4"/>
        <v>0.7666666666666667</v>
      </c>
      <c r="K99" s="51">
        <f t="shared" si="4"/>
        <v>0.75</v>
      </c>
      <c r="L99" s="51">
        <f t="shared" si="4"/>
        <v>0.7333333333333334</v>
      </c>
      <c r="M99" s="51">
        <f t="shared" si="4"/>
        <v>0.7166666666666667</v>
      </c>
      <c r="N99" s="51">
        <f t="shared" si="4"/>
        <v>0.7</v>
      </c>
      <c r="O99" s="51">
        <f t="shared" si="4"/>
        <v>0.6833333333333333</v>
      </c>
      <c r="P99" s="51">
        <f t="shared" si="4"/>
        <v>0.6666666666666667</v>
      </c>
      <c r="Q99" s="51">
        <f t="shared" si="4"/>
        <v>0.65</v>
      </c>
      <c r="R99" s="51">
        <f t="shared" si="4"/>
        <v>0.6333333333333333</v>
      </c>
      <c r="S99" s="51">
        <f t="shared" si="4"/>
        <v>0.6166666666666667</v>
      </c>
      <c r="T99" s="51"/>
      <c r="U99" s="51">
        <f>IF(U97&gt;=50,IF(U97&lt;=200,$C103*(U97-50)+1,$C105*(U97-200)+0.8),1)</f>
        <v>0.6</v>
      </c>
      <c r="V99" s="51"/>
      <c r="W99" t="s">
        <v>48</v>
      </c>
    </row>
    <row r="100" spans="2:34" ht="15">
      <c r="B100" s="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7" ht="15">
      <c r="A101" s="17" t="s">
        <v>32</v>
      </c>
      <c r="G101" t="s">
        <v>33</v>
      </c>
    </row>
    <row r="102" ht="15">
      <c r="A102" s="73" t="s">
        <v>79</v>
      </c>
    </row>
    <row r="103" spans="1:8" ht="15">
      <c r="A103" s="74"/>
      <c r="B103" s="2" t="s">
        <v>35</v>
      </c>
      <c r="C103">
        <f>(H98-B98)/(H97-B97)</f>
        <v>-0.001333333333333333</v>
      </c>
      <c r="D103" s="20" t="s">
        <v>36</v>
      </c>
      <c r="E103" s="1">
        <v>1</v>
      </c>
      <c r="F103" s="20"/>
      <c r="H103" s="1"/>
    </row>
    <row r="104" ht="15">
      <c r="A104" s="73" t="s">
        <v>80</v>
      </c>
    </row>
    <row r="105" spans="1:8" ht="15">
      <c r="A105" s="74"/>
      <c r="B105" s="2" t="s">
        <v>35</v>
      </c>
      <c r="C105">
        <f>(U98-H98)/(U97-H97)</f>
        <v>-0.0006666666666666669</v>
      </c>
      <c r="D105" s="20" t="s">
        <v>36</v>
      </c>
      <c r="E105" s="1">
        <v>0.8</v>
      </c>
      <c r="F105" s="20"/>
      <c r="H105" s="1"/>
    </row>
    <row r="107" spans="1:34" ht="18.75">
      <c r="A107" s="38" t="s">
        <v>56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 t="s">
        <v>46</v>
      </c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</row>
    <row r="108" spans="1:34" ht="15">
      <c r="A108" s="31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</row>
    <row r="109" spans="1:37" ht="15">
      <c r="A109" s="75" t="s">
        <v>40</v>
      </c>
      <c r="B109" s="77"/>
      <c r="C109" s="49" t="s">
        <v>41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50"/>
    </row>
    <row r="110" spans="1:37" ht="15">
      <c r="A110" s="76"/>
      <c r="B110" s="78"/>
      <c r="C110" s="43">
        <v>3</v>
      </c>
      <c r="D110" s="43">
        <f>C110+0.5</f>
        <v>3.5</v>
      </c>
      <c r="E110" s="43">
        <f aca="true" t="shared" si="5" ref="E110:AJ110">D110+0.5</f>
        <v>4</v>
      </c>
      <c r="F110" s="43">
        <f t="shared" si="5"/>
        <v>4.5</v>
      </c>
      <c r="G110" s="43">
        <f t="shared" si="5"/>
        <v>5</v>
      </c>
      <c r="H110" s="43">
        <f t="shared" si="5"/>
        <v>5.5</v>
      </c>
      <c r="I110" s="43">
        <f t="shared" si="5"/>
        <v>6</v>
      </c>
      <c r="J110" s="43">
        <f t="shared" si="5"/>
        <v>6.5</v>
      </c>
      <c r="K110" s="43">
        <f t="shared" si="5"/>
        <v>7</v>
      </c>
      <c r="L110" s="43">
        <f t="shared" si="5"/>
        <v>7.5</v>
      </c>
      <c r="M110" s="43">
        <f t="shared" si="5"/>
        <v>8</v>
      </c>
      <c r="N110" s="43">
        <f t="shared" si="5"/>
        <v>8.5</v>
      </c>
      <c r="O110" s="43">
        <f t="shared" si="5"/>
        <v>9</v>
      </c>
      <c r="P110" s="43">
        <f t="shared" si="5"/>
        <v>9.5</v>
      </c>
      <c r="Q110" s="43">
        <f t="shared" si="5"/>
        <v>10</v>
      </c>
      <c r="R110" s="43">
        <f t="shared" si="5"/>
        <v>10.5</v>
      </c>
      <c r="S110" s="43">
        <f t="shared" si="5"/>
        <v>11</v>
      </c>
      <c r="T110" s="43">
        <f t="shared" si="5"/>
        <v>11.5</v>
      </c>
      <c r="U110" s="43">
        <f t="shared" si="5"/>
        <v>12</v>
      </c>
      <c r="V110" s="43">
        <f t="shared" si="5"/>
        <v>12.5</v>
      </c>
      <c r="W110" s="43">
        <f t="shared" si="5"/>
        <v>13</v>
      </c>
      <c r="X110" s="43">
        <f t="shared" si="5"/>
        <v>13.5</v>
      </c>
      <c r="Y110" s="43">
        <f t="shared" si="5"/>
        <v>14</v>
      </c>
      <c r="Z110" s="43">
        <f t="shared" si="5"/>
        <v>14.5</v>
      </c>
      <c r="AA110" s="43">
        <f t="shared" si="5"/>
        <v>15</v>
      </c>
      <c r="AB110" s="43">
        <f t="shared" si="5"/>
        <v>15.5</v>
      </c>
      <c r="AC110" s="43">
        <f t="shared" si="5"/>
        <v>16</v>
      </c>
      <c r="AD110" s="43">
        <f t="shared" si="5"/>
        <v>16.5</v>
      </c>
      <c r="AE110" s="43">
        <f t="shared" si="5"/>
        <v>17</v>
      </c>
      <c r="AF110" s="43">
        <f t="shared" si="5"/>
        <v>17.5</v>
      </c>
      <c r="AG110" s="43">
        <f t="shared" si="5"/>
        <v>18</v>
      </c>
      <c r="AH110" s="43">
        <f t="shared" si="5"/>
        <v>18.5</v>
      </c>
      <c r="AI110" s="43">
        <f t="shared" si="5"/>
        <v>19</v>
      </c>
      <c r="AJ110" s="43">
        <f t="shared" si="5"/>
        <v>19.5</v>
      </c>
      <c r="AK110" s="43">
        <f>AJ110+0.5</f>
        <v>20</v>
      </c>
    </row>
    <row r="111" spans="1:37" ht="15">
      <c r="A111" s="37" t="s">
        <v>57</v>
      </c>
      <c r="B111" s="68" t="s">
        <v>42</v>
      </c>
      <c r="C111" s="67">
        <f aca="true" t="shared" si="6" ref="C111:AK111">0.9*2.78*10^-5*$A118^1.25*C116</f>
        <v>0.8147758652334287</v>
      </c>
      <c r="D111" s="67">
        <f>0.9*2.78*10^-5*$A118^1.25*D116</f>
        <v>0.8046418370588836</v>
      </c>
      <c r="E111" s="67">
        <f t="shared" si="6"/>
        <v>0.7945078088843384</v>
      </c>
      <c r="F111" s="67">
        <f>0.9*2.78*10^-5*$A118^1.25*F116</f>
        <v>0.7843737807097934</v>
      </c>
      <c r="G111" s="67">
        <f t="shared" si="6"/>
        <v>0.7742397525352481</v>
      </c>
      <c r="H111" s="67">
        <f>0.9*2.78*10^-5*$A118^1.25*H116</f>
        <v>0.764105724360703</v>
      </c>
      <c r="I111" s="67">
        <f t="shared" si="6"/>
        <v>0.7539716961861579</v>
      </c>
      <c r="J111" s="67">
        <f>0.9*2.78*10^-5*$A118^1.25*J116</f>
        <v>0.7438376680116128</v>
      </c>
      <c r="K111" s="67">
        <f t="shared" si="6"/>
        <v>0.7337036398370677</v>
      </c>
      <c r="L111" s="67">
        <f>0.9*2.78*10^-5*$A118^1.25*L116</f>
        <v>0.7235696116625225</v>
      </c>
      <c r="M111" s="67">
        <f t="shared" si="6"/>
        <v>0.7134355834879773</v>
      </c>
      <c r="N111" s="67">
        <f>0.9*2.78*10^-5*$A118^1.25*N116</f>
        <v>0.7033015553134323</v>
      </c>
      <c r="O111" s="67">
        <f t="shared" si="6"/>
        <v>0.6931675271388872</v>
      </c>
      <c r="P111" s="67">
        <f>0.9*2.78*10^-5*$A118^1.25*P116</f>
        <v>0.683033498964342</v>
      </c>
      <c r="Q111" s="67">
        <f t="shared" si="6"/>
        <v>0.6728994707897968</v>
      </c>
      <c r="R111" s="67">
        <f>0.9*2.78*10^-5*$A118^1.25*R116</f>
        <v>0.6627654426152517</v>
      </c>
      <c r="S111" s="67">
        <f t="shared" si="6"/>
        <v>0.6546582200756157</v>
      </c>
      <c r="T111" s="67">
        <f>0.9*2.78*10^-5*$A118^1.25*T116</f>
        <v>0.6495912059883431</v>
      </c>
      <c r="U111" s="67">
        <f t="shared" si="6"/>
        <v>0.6445241919010705</v>
      </c>
      <c r="V111" s="67">
        <f>0.9*2.78*10^-5*$A118^1.25*V116</f>
        <v>0.6394571778137979</v>
      </c>
      <c r="W111" s="67">
        <f t="shared" si="6"/>
        <v>0.6343901637265253</v>
      </c>
      <c r="X111" s="67">
        <f>0.9*2.78*10^-5*$A118^1.25*X116</f>
        <v>0.6293231496392528</v>
      </c>
      <c r="Y111" s="67">
        <f t="shared" si="6"/>
        <v>0.6242561355519802</v>
      </c>
      <c r="Z111" s="67">
        <f>0.9*2.78*10^-5*$A118^1.25*Z116</f>
        <v>0.6191891214647076</v>
      </c>
      <c r="AA111" s="67">
        <f t="shared" si="6"/>
        <v>0.6141221073774351</v>
      </c>
      <c r="AB111" s="67">
        <f>0.9*2.78*10^-5*$A118^1.25*AB116</f>
        <v>0.6090550932901625</v>
      </c>
      <c r="AC111" s="67">
        <f t="shared" si="6"/>
        <v>0.6039880792028899</v>
      </c>
      <c r="AD111" s="67">
        <f>0.9*2.78*10^-5*$A118^1.25*AD116</f>
        <v>0.5989210651156174</v>
      </c>
      <c r="AE111" s="67">
        <f t="shared" si="6"/>
        <v>0.5938540510283448</v>
      </c>
      <c r="AF111" s="67">
        <f>0.9*2.78*10^-5*$A118^1.25*AF116</f>
        <v>0.5887870369410723</v>
      </c>
      <c r="AG111" s="67">
        <f t="shared" si="6"/>
        <v>0.5837200228537996</v>
      </c>
      <c r="AH111" s="67">
        <f>0.9*2.78*10^-5*$A118^1.25*AH116</f>
        <v>0.578653008766527</v>
      </c>
      <c r="AI111" s="67">
        <f t="shared" si="6"/>
        <v>0.5735859946792545</v>
      </c>
      <c r="AJ111" s="67">
        <f>0.9*2.78*10^-5*$A118^1.25*AJ116</f>
        <v>0.568518980591982</v>
      </c>
      <c r="AK111" s="67">
        <f t="shared" si="6"/>
        <v>0.5634519665047094</v>
      </c>
    </row>
    <row r="112" spans="2:37" ht="15">
      <c r="B112" s="68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</row>
    <row r="113" spans="2:37" ht="15" hidden="1">
      <c r="B113" s="71" t="s">
        <v>55</v>
      </c>
      <c r="C113" s="9">
        <v>1.07</v>
      </c>
      <c r="D113" s="9">
        <v>1.07</v>
      </c>
      <c r="E113" s="9">
        <v>1.07</v>
      </c>
      <c r="F113" s="9">
        <v>1.07</v>
      </c>
      <c r="G113" s="9">
        <v>1.07</v>
      </c>
      <c r="H113" s="9">
        <v>1.07</v>
      </c>
      <c r="I113" s="9">
        <v>1.05</v>
      </c>
      <c r="J113" s="9">
        <v>1.07</v>
      </c>
      <c r="K113" s="9">
        <v>1.02</v>
      </c>
      <c r="L113" s="9">
        <v>1.07</v>
      </c>
      <c r="M113" s="9">
        <v>1</v>
      </c>
      <c r="N113" s="9">
        <v>1.07</v>
      </c>
      <c r="O113" s="9">
        <v>0.98</v>
      </c>
      <c r="P113" s="9">
        <v>1.07</v>
      </c>
      <c r="Q113" s="9">
        <v>0.96</v>
      </c>
      <c r="R113" s="9">
        <v>1.07</v>
      </c>
      <c r="S113" s="9">
        <v>0.94</v>
      </c>
      <c r="T113" s="9">
        <v>1.07</v>
      </c>
      <c r="U113" s="9">
        <v>0.92</v>
      </c>
      <c r="V113" s="9">
        <v>1.07</v>
      </c>
      <c r="W113" s="9">
        <v>0.9</v>
      </c>
      <c r="X113" s="9">
        <v>1.07</v>
      </c>
      <c r="Y113" s="9">
        <v>0.88</v>
      </c>
      <c r="Z113" s="9">
        <v>0.88</v>
      </c>
      <c r="AA113" s="9">
        <v>0.86</v>
      </c>
      <c r="AB113" s="9">
        <v>0.88</v>
      </c>
      <c r="AC113" s="9">
        <v>0.85</v>
      </c>
      <c r="AD113" s="9">
        <v>0.85</v>
      </c>
      <c r="AE113" s="9">
        <v>0.83</v>
      </c>
      <c r="AF113" s="9">
        <v>0.85</v>
      </c>
      <c r="AG113" s="9">
        <v>0.81</v>
      </c>
      <c r="AH113" s="9">
        <v>0.85</v>
      </c>
      <c r="AI113" s="9">
        <v>0.8</v>
      </c>
      <c r="AJ113" s="9">
        <v>0.85</v>
      </c>
      <c r="AK113" s="9">
        <v>0.78</v>
      </c>
    </row>
    <row r="114" spans="1:37" ht="15" hidden="1">
      <c r="A114" s="9"/>
      <c r="B114" s="71"/>
      <c r="C114" s="35">
        <f aca="true" t="shared" si="7" ref="C114:H114">C111-C113</f>
        <v>-0.25522413476657135</v>
      </c>
      <c r="D114" s="35">
        <f t="shared" si="7"/>
        <v>-0.26535816294111647</v>
      </c>
      <c r="E114" s="35">
        <f t="shared" si="7"/>
        <v>-0.2754921911156617</v>
      </c>
      <c r="F114" s="35">
        <f t="shared" si="7"/>
        <v>-0.2856262192902067</v>
      </c>
      <c r="G114" s="35">
        <f t="shared" si="7"/>
        <v>-0.29576024746475194</v>
      </c>
      <c r="H114" s="35">
        <f t="shared" si="7"/>
        <v>-0.30589427563929705</v>
      </c>
      <c r="I114" s="35">
        <f aca="true" t="shared" si="8" ref="I114:AK114">I111-I113</f>
        <v>-0.29602830381384215</v>
      </c>
      <c r="J114" s="35">
        <f>J111-J113</f>
        <v>-0.3261623319883873</v>
      </c>
      <c r="K114" s="35">
        <f t="shared" si="8"/>
        <v>-0.28629636016293236</v>
      </c>
      <c r="L114" s="35">
        <f>L111-L113</f>
        <v>-0.3464303883374775</v>
      </c>
      <c r="M114" s="35">
        <f t="shared" si="8"/>
        <v>-0.2865644165120227</v>
      </c>
      <c r="N114" s="35">
        <f>N111-N113</f>
        <v>-0.36669844468656776</v>
      </c>
      <c r="O114" s="35">
        <f t="shared" si="8"/>
        <v>-0.2868324728611128</v>
      </c>
      <c r="P114" s="35">
        <f>P111-P113</f>
        <v>-0.3869665010356581</v>
      </c>
      <c r="Q114" s="35">
        <f t="shared" si="8"/>
        <v>-0.2871005292102031</v>
      </c>
      <c r="R114" s="35">
        <f>R111-R113</f>
        <v>-0.40723455738474834</v>
      </c>
      <c r="S114" s="35">
        <f t="shared" si="8"/>
        <v>-0.28534177992438425</v>
      </c>
      <c r="T114" s="35">
        <f>T111-T113</f>
        <v>-0.420408794011657</v>
      </c>
      <c r="U114" s="35">
        <f t="shared" si="8"/>
        <v>-0.2754758080989296</v>
      </c>
      <c r="V114" s="35">
        <f>V111-V113</f>
        <v>-0.4305428221862022</v>
      </c>
      <c r="W114" s="35">
        <f t="shared" si="8"/>
        <v>-0.2656098362734747</v>
      </c>
      <c r="X114" s="35">
        <f>X111-X113</f>
        <v>-0.4406768503607472</v>
      </c>
      <c r="Y114" s="35">
        <f t="shared" si="8"/>
        <v>-0.2557438644480198</v>
      </c>
      <c r="Z114" s="35">
        <f>Z111-Z113</f>
        <v>-0.2608108785352924</v>
      </c>
      <c r="AA114" s="35">
        <f t="shared" si="8"/>
        <v>-0.24587789262256488</v>
      </c>
      <c r="AB114" s="35">
        <f>AB111-AB113</f>
        <v>-0.2709449067098375</v>
      </c>
      <c r="AC114" s="35">
        <f t="shared" si="8"/>
        <v>-0.2460119207971101</v>
      </c>
      <c r="AD114" s="35">
        <f>AD111-AD113</f>
        <v>-0.2510789348843826</v>
      </c>
      <c r="AE114" s="35">
        <f t="shared" si="8"/>
        <v>-0.2361459489716552</v>
      </c>
      <c r="AF114" s="35">
        <f>AF111-AF113</f>
        <v>-0.2612129630589277</v>
      </c>
      <c r="AG114" s="35">
        <f t="shared" si="8"/>
        <v>-0.2262799771462004</v>
      </c>
      <c r="AH114" s="35">
        <f>AH111-AH113</f>
        <v>-0.27134699123347295</v>
      </c>
      <c r="AI114" s="35">
        <f t="shared" si="8"/>
        <v>-0.22641400532074551</v>
      </c>
      <c r="AJ114" s="35">
        <f>AJ111-AJ113</f>
        <v>-0.28148101940801795</v>
      </c>
      <c r="AK114" s="35">
        <f t="shared" si="8"/>
        <v>-0.21654803349529061</v>
      </c>
    </row>
    <row r="115" spans="2:37" ht="15" hidden="1">
      <c r="B115" s="11" t="s">
        <v>31</v>
      </c>
      <c r="C115" s="34">
        <f>C$110*1000/$A120</f>
        <v>55.55555555555556</v>
      </c>
      <c r="D115" s="34">
        <f>D$110*1000/$A120</f>
        <v>64.81481481481481</v>
      </c>
      <c r="E115" s="34">
        <f aca="true" t="shared" si="9" ref="E115:AK115">E$110*1000/$A120</f>
        <v>74.07407407407408</v>
      </c>
      <c r="F115" s="34">
        <f>F$110*1000/$A120</f>
        <v>83.33333333333333</v>
      </c>
      <c r="G115" s="34">
        <f t="shared" si="9"/>
        <v>92.5925925925926</v>
      </c>
      <c r="H115" s="34">
        <f>H$110*1000/$A120</f>
        <v>101.85185185185185</v>
      </c>
      <c r="I115" s="34">
        <f t="shared" si="9"/>
        <v>111.11111111111111</v>
      </c>
      <c r="J115" s="34">
        <f>J$110*1000/$A120</f>
        <v>120.37037037037037</v>
      </c>
      <c r="K115" s="34">
        <f t="shared" si="9"/>
        <v>129.62962962962962</v>
      </c>
      <c r="L115" s="34">
        <f>L$110*1000/$A120</f>
        <v>138.88888888888889</v>
      </c>
      <c r="M115" s="34">
        <f t="shared" si="9"/>
        <v>148.14814814814815</v>
      </c>
      <c r="N115" s="34">
        <f>N$110*1000/$A120</f>
        <v>157.40740740740742</v>
      </c>
      <c r="O115" s="34">
        <f t="shared" si="9"/>
        <v>166.66666666666666</v>
      </c>
      <c r="P115" s="34">
        <f>P$110*1000/$A120</f>
        <v>175.92592592592592</v>
      </c>
      <c r="Q115" s="34">
        <f t="shared" si="9"/>
        <v>185.1851851851852</v>
      </c>
      <c r="R115" s="34">
        <f>R$110*1000/$A120</f>
        <v>194.44444444444446</v>
      </c>
      <c r="S115" s="34">
        <f t="shared" si="9"/>
        <v>203.7037037037037</v>
      </c>
      <c r="T115" s="34">
        <f>T$110*1000/$A120</f>
        <v>212.96296296296296</v>
      </c>
      <c r="U115" s="34">
        <f t="shared" si="9"/>
        <v>222.22222222222223</v>
      </c>
      <c r="V115" s="34">
        <f>V$110*1000/$A120</f>
        <v>231.4814814814815</v>
      </c>
      <c r="W115" s="34">
        <f t="shared" si="9"/>
        <v>240.74074074074073</v>
      </c>
      <c r="X115" s="34">
        <f>X$110*1000/$A120</f>
        <v>250</v>
      </c>
      <c r="Y115" s="34">
        <f t="shared" si="9"/>
        <v>259.25925925925924</v>
      </c>
      <c r="Z115" s="34">
        <f>Z$110*1000/$A120</f>
        <v>268.51851851851853</v>
      </c>
      <c r="AA115" s="34">
        <f t="shared" si="9"/>
        <v>277.77777777777777</v>
      </c>
      <c r="AB115" s="34">
        <f>AB$110*1000/$A120</f>
        <v>287.037037037037</v>
      </c>
      <c r="AC115" s="34">
        <f t="shared" si="9"/>
        <v>296.2962962962963</v>
      </c>
      <c r="AD115" s="34">
        <f>AD$110*1000/$A120</f>
        <v>305.55555555555554</v>
      </c>
      <c r="AE115" s="34">
        <f t="shared" si="9"/>
        <v>314.81481481481484</v>
      </c>
      <c r="AF115" s="34">
        <f>AF$110*1000/$A120</f>
        <v>324.0740740740741</v>
      </c>
      <c r="AG115" s="34">
        <f t="shared" si="9"/>
        <v>333.3333333333333</v>
      </c>
      <c r="AH115" s="34">
        <f>AH$110*1000/$A120</f>
        <v>342.5925925925926</v>
      </c>
      <c r="AI115" s="34">
        <f t="shared" si="9"/>
        <v>351.85185185185185</v>
      </c>
      <c r="AJ115" s="34">
        <f>AJ$110*1000/$A120</f>
        <v>361.1111111111111</v>
      </c>
      <c r="AK115" s="34">
        <f t="shared" si="9"/>
        <v>370.3703703703704</v>
      </c>
    </row>
    <row r="116" spans="2:37" ht="18" hidden="1">
      <c r="B116" s="11" t="s">
        <v>30</v>
      </c>
      <c r="C116" s="35">
        <f>IF(C115&gt;=50,IF(C115&lt;=200,$C$103*(C115-50)+1,$C$105*(C115-200)+0.8),1)</f>
        <v>0.9925925925925926</v>
      </c>
      <c r="D116" s="35">
        <f>IF(D115&gt;=50,IF(D115&lt;=200,$C$103*(D115-50)+1,$C$105*(D115-200)+0.8),1)</f>
        <v>0.980246913580247</v>
      </c>
      <c r="E116" s="35">
        <f aca="true" t="shared" si="10" ref="E116:AK116">IF(E115&gt;=50,IF(E115&lt;=200,$C$103*(E115-50)+1,$C$105*(E115-200)+0.8),1)</f>
        <v>0.9679012345679012</v>
      </c>
      <c r="F116" s="35">
        <f>IF(F115&gt;=50,IF(F115&lt;=200,$C$103*(F115-50)+1,$C$105*(F115-200)+0.8),1)</f>
        <v>0.9555555555555556</v>
      </c>
      <c r="G116" s="35">
        <f t="shared" si="10"/>
        <v>0.9432098765432099</v>
      </c>
      <c r="H116" s="35">
        <f>IF(H115&gt;=50,IF(H115&lt;=200,$C$103*(H115-50)+1,$C$105*(H115-200)+0.8),1)</f>
        <v>0.9308641975308642</v>
      </c>
      <c r="I116" s="35">
        <f t="shared" si="10"/>
        <v>0.9185185185185185</v>
      </c>
      <c r="J116" s="35">
        <f>IF(J115&gt;=50,IF(J115&lt;=200,$C$103*(J115-50)+1,$C$105*(J115-200)+0.8),1)</f>
        <v>0.9061728395061729</v>
      </c>
      <c r="K116" s="35">
        <f t="shared" si="10"/>
        <v>0.8938271604938272</v>
      </c>
      <c r="L116" s="35">
        <f>IF(L115&gt;=50,IF(L115&lt;=200,$C$103*(L115-50)+1,$C$105*(L115-200)+0.8),1)</f>
        <v>0.8814814814814815</v>
      </c>
      <c r="M116" s="35">
        <f t="shared" si="10"/>
        <v>0.8691358024691358</v>
      </c>
      <c r="N116" s="35">
        <f>IF(N115&gt;=50,IF(N115&lt;=200,$C$103*(N115-50)+1,$C$105*(N115-200)+0.8),1)</f>
        <v>0.8567901234567902</v>
      </c>
      <c r="O116" s="35">
        <f t="shared" si="10"/>
        <v>0.8444444444444446</v>
      </c>
      <c r="P116" s="35">
        <f>IF(P115&gt;=50,IF(P115&lt;=200,$C$103*(P115-50)+1,$C$105*(P115-200)+0.8),1)</f>
        <v>0.8320987654320988</v>
      </c>
      <c r="Q116" s="35">
        <f t="shared" si="10"/>
        <v>0.8197530864197531</v>
      </c>
      <c r="R116" s="35">
        <f>IF(R115&gt;=50,IF(R115&lt;=200,$C$103*(R115-50)+1,$C$105*(R115-200)+0.8),1)</f>
        <v>0.8074074074074075</v>
      </c>
      <c r="S116" s="35">
        <f t="shared" si="10"/>
        <v>0.7975308641975309</v>
      </c>
      <c r="T116" s="35">
        <f>IF(T115&gt;=50,IF(T115&lt;=200,$C$103*(T115-50)+1,$C$105*(T115-200)+0.8),1)</f>
        <v>0.7913580246913581</v>
      </c>
      <c r="U116" s="35">
        <f t="shared" si="10"/>
        <v>0.7851851851851852</v>
      </c>
      <c r="V116" s="35">
        <f>IF(V115&gt;=50,IF(V115&lt;=200,$C$103*(V115-50)+1,$C$105*(V115-200)+0.8),1)</f>
        <v>0.7790123456790123</v>
      </c>
      <c r="W116" s="35">
        <f t="shared" si="10"/>
        <v>0.7728395061728396</v>
      </c>
      <c r="X116" s="35">
        <f>IF(X115&gt;=50,IF(X115&lt;=200,$C$103*(X115-50)+1,$C$105*(X115-200)+0.8),1)</f>
        <v>0.7666666666666667</v>
      </c>
      <c r="Y116" s="35">
        <f t="shared" si="10"/>
        <v>0.7604938271604939</v>
      </c>
      <c r="Z116" s="35">
        <f t="shared" si="10"/>
        <v>0.754320987654321</v>
      </c>
      <c r="AA116" s="35">
        <f t="shared" si="10"/>
        <v>0.7481481481481482</v>
      </c>
      <c r="AB116" s="35">
        <f t="shared" si="10"/>
        <v>0.7419753086419754</v>
      </c>
      <c r="AC116" s="35">
        <f t="shared" si="10"/>
        <v>0.7358024691358025</v>
      </c>
      <c r="AD116" s="35">
        <f t="shared" si="10"/>
        <v>0.7296296296296296</v>
      </c>
      <c r="AE116" s="35">
        <f t="shared" si="10"/>
        <v>0.7234567901234568</v>
      </c>
      <c r="AF116" s="35">
        <f t="shared" si="10"/>
        <v>0.717283950617284</v>
      </c>
      <c r="AG116" s="35">
        <f t="shared" si="10"/>
        <v>0.7111111111111111</v>
      </c>
      <c r="AH116" s="35">
        <f t="shared" si="10"/>
        <v>0.7049382716049383</v>
      </c>
      <c r="AI116" s="35">
        <f t="shared" si="10"/>
        <v>0.6987654320987654</v>
      </c>
      <c r="AJ116" s="35">
        <f t="shared" si="10"/>
        <v>0.6925925925925926</v>
      </c>
      <c r="AK116" s="35">
        <f t="shared" si="10"/>
        <v>0.6864197530864198</v>
      </c>
    </row>
    <row r="117" spans="1:37" ht="17.25">
      <c r="A117" s="9" t="s">
        <v>60</v>
      </c>
      <c r="B117" s="9">
        <v>250</v>
      </c>
      <c r="C117" s="12">
        <f aca="true" t="shared" si="11" ref="C117:AK117">ROUNDUP(C111*100^2/$B117,0)</f>
        <v>33</v>
      </c>
      <c r="D117" s="12">
        <f>ROUNDUP(D111*100^2/$B117,0)</f>
        <v>33</v>
      </c>
      <c r="E117" s="12">
        <f t="shared" si="11"/>
        <v>32</v>
      </c>
      <c r="F117" s="12">
        <f>ROUNDUP(F111*100^2/$B117,0)</f>
        <v>32</v>
      </c>
      <c r="G117" s="12">
        <f t="shared" si="11"/>
        <v>31</v>
      </c>
      <c r="H117" s="12">
        <f>ROUNDUP(H111*100^2/$B117,0)</f>
        <v>31</v>
      </c>
      <c r="I117" s="12">
        <f t="shared" si="11"/>
        <v>31</v>
      </c>
      <c r="J117" s="12">
        <f>ROUNDUP(J111*100^2/$B117,0)</f>
        <v>30</v>
      </c>
      <c r="K117" s="12">
        <f t="shared" si="11"/>
        <v>30</v>
      </c>
      <c r="L117" s="12">
        <f>ROUNDUP(L111*100^2/$B117,0)</f>
        <v>29</v>
      </c>
      <c r="M117" s="12">
        <f t="shared" si="11"/>
        <v>29</v>
      </c>
      <c r="N117" s="12">
        <f>ROUNDUP(N111*100^2/$B117,0)</f>
        <v>29</v>
      </c>
      <c r="O117" s="12">
        <f t="shared" si="11"/>
        <v>28</v>
      </c>
      <c r="P117" s="12">
        <f>ROUNDUP(P111*100^2/$B117,0)</f>
        <v>28</v>
      </c>
      <c r="Q117" s="12">
        <f t="shared" si="11"/>
        <v>27</v>
      </c>
      <c r="R117" s="12">
        <f>ROUNDUP(R111*100^2/$B117,0)</f>
        <v>27</v>
      </c>
      <c r="S117" s="12">
        <f t="shared" si="11"/>
        <v>27</v>
      </c>
      <c r="T117" s="12">
        <f>ROUNDUP(T111*100^2/$B117,0)</f>
        <v>26</v>
      </c>
      <c r="U117" s="12">
        <f t="shared" si="11"/>
        <v>26</v>
      </c>
      <c r="V117" s="12">
        <f>ROUNDUP(V111*100^2/$B117,0)</f>
        <v>26</v>
      </c>
      <c r="W117" s="12">
        <f t="shared" si="11"/>
        <v>26</v>
      </c>
      <c r="X117" s="12">
        <f>ROUNDUP(X111*100^2/$B117,0)</f>
        <v>26</v>
      </c>
      <c r="Y117" s="12">
        <f t="shared" si="11"/>
        <v>25</v>
      </c>
      <c r="Z117" s="12">
        <f>ROUNDUP(Z111*100^2/$B117,0)</f>
        <v>25</v>
      </c>
      <c r="AA117" s="12">
        <f t="shared" si="11"/>
        <v>25</v>
      </c>
      <c r="AB117" s="12">
        <f>ROUNDUP(AB111*100^2/$B117,0)</f>
        <v>25</v>
      </c>
      <c r="AC117" s="12">
        <f t="shared" si="11"/>
        <v>25</v>
      </c>
      <c r="AD117" s="12">
        <f>ROUNDUP(AD111*100^2/$B117,0)</f>
        <v>24</v>
      </c>
      <c r="AE117" s="12">
        <f t="shared" si="11"/>
        <v>24</v>
      </c>
      <c r="AF117" s="12">
        <f>ROUNDUP(AF111*100^2/$B117,0)</f>
        <v>24</v>
      </c>
      <c r="AG117" s="12">
        <f t="shared" si="11"/>
        <v>24</v>
      </c>
      <c r="AH117" s="12">
        <f>ROUNDUP(AH111*100^2/$B117,0)</f>
        <v>24</v>
      </c>
      <c r="AI117" s="12">
        <f t="shared" si="11"/>
        <v>23</v>
      </c>
      <c r="AJ117" s="12">
        <f>ROUNDUP(AJ111*100^2/$B117,0)</f>
        <v>23</v>
      </c>
      <c r="AK117" s="12">
        <f t="shared" si="11"/>
        <v>23</v>
      </c>
    </row>
    <row r="118" spans="1:37" ht="15">
      <c r="A118" s="9">
        <v>4100</v>
      </c>
      <c r="B118" s="9">
        <v>300</v>
      </c>
      <c r="C118" s="12">
        <f aca="true" t="shared" si="12" ref="C118:AK118">ROUNDUP(C111*100^2/$B118,0)</f>
        <v>28</v>
      </c>
      <c r="D118" s="12">
        <f>ROUNDUP(D111*100^2/$B118,0)</f>
        <v>27</v>
      </c>
      <c r="E118" s="12">
        <f t="shared" si="12"/>
        <v>27</v>
      </c>
      <c r="F118" s="12">
        <f>ROUNDUP(F111*100^2/$B118,0)</f>
        <v>27</v>
      </c>
      <c r="G118" s="12">
        <f t="shared" si="12"/>
        <v>26</v>
      </c>
      <c r="H118" s="12">
        <f>ROUNDUP(H111*100^2/$B118,0)</f>
        <v>26</v>
      </c>
      <c r="I118" s="12">
        <f t="shared" si="12"/>
        <v>26</v>
      </c>
      <c r="J118" s="12">
        <f>ROUNDUP(J111*100^2/$B118,0)</f>
        <v>25</v>
      </c>
      <c r="K118" s="12">
        <f t="shared" si="12"/>
        <v>25</v>
      </c>
      <c r="L118" s="12">
        <f>ROUNDUP(L111*100^2/$B118,0)</f>
        <v>25</v>
      </c>
      <c r="M118" s="12">
        <f t="shared" si="12"/>
        <v>24</v>
      </c>
      <c r="N118" s="12">
        <f>ROUNDUP(N111*100^2/$B118,0)</f>
        <v>24</v>
      </c>
      <c r="O118" s="12">
        <f t="shared" si="12"/>
        <v>24</v>
      </c>
      <c r="P118" s="12">
        <f>ROUNDUP(P111*100^2/$B118,0)</f>
        <v>23</v>
      </c>
      <c r="Q118" s="12">
        <f t="shared" si="12"/>
        <v>23</v>
      </c>
      <c r="R118" s="12">
        <f>ROUNDUP(R111*100^2/$B118,0)</f>
        <v>23</v>
      </c>
      <c r="S118" s="12">
        <f t="shared" si="12"/>
        <v>22</v>
      </c>
      <c r="T118" s="12">
        <f>ROUNDUP(T111*100^2/$B118,0)</f>
        <v>22</v>
      </c>
      <c r="U118" s="12">
        <f t="shared" si="12"/>
        <v>22</v>
      </c>
      <c r="V118" s="12">
        <f>ROUNDUP(V111*100^2/$B118,0)</f>
        <v>22</v>
      </c>
      <c r="W118" s="12">
        <f t="shared" si="12"/>
        <v>22</v>
      </c>
      <c r="X118" s="12">
        <f>ROUNDUP(X111*100^2/$B118,0)</f>
        <v>21</v>
      </c>
      <c r="Y118" s="12">
        <f t="shared" si="12"/>
        <v>21</v>
      </c>
      <c r="Z118" s="12">
        <f>ROUNDUP(Z111*100^2/$B118,0)</f>
        <v>21</v>
      </c>
      <c r="AA118" s="12">
        <f t="shared" si="12"/>
        <v>21</v>
      </c>
      <c r="AB118" s="12">
        <f>ROUNDUP(AB111*100^2/$B118,0)</f>
        <v>21</v>
      </c>
      <c r="AC118" s="12">
        <f t="shared" si="12"/>
        <v>21</v>
      </c>
      <c r="AD118" s="12">
        <f>ROUNDUP(AD111*100^2/$B118,0)</f>
        <v>20</v>
      </c>
      <c r="AE118" s="12">
        <f t="shared" si="12"/>
        <v>20</v>
      </c>
      <c r="AF118" s="12">
        <f>ROUNDUP(AF111*100^2/$B118,0)</f>
        <v>20</v>
      </c>
      <c r="AG118" s="12">
        <f t="shared" si="12"/>
        <v>20</v>
      </c>
      <c r="AH118" s="12">
        <f>ROUNDUP(AH111*100^2/$B118,0)</f>
        <v>20</v>
      </c>
      <c r="AI118" s="12">
        <f t="shared" si="12"/>
        <v>20</v>
      </c>
      <c r="AJ118" s="12">
        <f>ROUNDUP(AJ111*100^2/$B118,0)</f>
        <v>19</v>
      </c>
      <c r="AK118" s="12">
        <f t="shared" si="12"/>
        <v>19</v>
      </c>
    </row>
    <row r="119" spans="1:37" ht="15">
      <c r="A119" s="9" t="s">
        <v>61</v>
      </c>
      <c r="B119" s="9">
        <v>350</v>
      </c>
      <c r="C119" s="12">
        <f aca="true" t="shared" si="13" ref="C119:AK119">ROUNDUP(C111*100^2/$B119,0)</f>
        <v>24</v>
      </c>
      <c r="D119" s="12">
        <f>ROUNDUP(D111*100^2/$B119,0)</f>
        <v>23</v>
      </c>
      <c r="E119" s="12">
        <f t="shared" si="13"/>
        <v>23</v>
      </c>
      <c r="F119" s="12">
        <f>ROUNDUP(F111*100^2/$B119,0)</f>
        <v>23</v>
      </c>
      <c r="G119" s="12">
        <f t="shared" si="13"/>
        <v>23</v>
      </c>
      <c r="H119" s="12">
        <f>ROUNDUP(H111*100^2/$B119,0)</f>
        <v>22</v>
      </c>
      <c r="I119" s="12">
        <f t="shared" si="13"/>
        <v>22</v>
      </c>
      <c r="J119" s="12">
        <f>ROUNDUP(J111*100^2/$B119,0)</f>
        <v>22</v>
      </c>
      <c r="K119" s="12">
        <f t="shared" si="13"/>
        <v>21</v>
      </c>
      <c r="L119" s="12">
        <f>ROUNDUP(L111*100^2/$B119,0)</f>
        <v>21</v>
      </c>
      <c r="M119" s="12">
        <f t="shared" si="13"/>
        <v>21</v>
      </c>
      <c r="N119" s="12">
        <f>ROUNDUP(N111*100^2/$B119,0)</f>
        <v>21</v>
      </c>
      <c r="O119" s="12">
        <f t="shared" si="13"/>
        <v>20</v>
      </c>
      <c r="P119" s="12">
        <f>ROUNDUP(P111*100^2/$B119,0)</f>
        <v>20</v>
      </c>
      <c r="Q119" s="12">
        <f t="shared" si="13"/>
        <v>20</v>
      </c>
      <c r="R119" s="12">
        <f>ROUNDUP(R111*100^2/$B119,0)</f>
        <v>19</v>
      </c>
      <c r="S119" s="12">
        <f t="shared" si="13"/>
        <v>19</v>
      </c>
      <c r="T119" s="12">
        <f>ROUNDUP(T111*100^2/$B119,0)</f>
        <v>19</v>
      </c>
      <c r="U119" s="12">
        <f t="shared" si="13"/>
        <v>19</v>
      </c>
      <c r="V119" s="12">
        <f>ROUNDUP(V111*100^2/$B119,0)</f>
        <v>19</v>
      </c>
      <c r="W119" s="12">
        <f t="shared" si="13"/>
        <v>19</v>
      </c>
      <c r="X119" s="12">
        <f>ROUNDUP(X111*100^2/$B119,0)</f>
        <v>18</v>
      </c>
      <c r="Y119" s="12">
        <f t="shared" si="13"/>
        <v>18</v>
      </c>
      <c r="Z119" s="12">
        <f>ROUNDUP(Z111*100^2/$B119,0)</f>
        <v>18</v>
      </c>
      <c r="AA119" s="12">
        <f t="shared" si="13"/>
        <v>18</v>
      </c>
      <c r="AB119" s="12">
        <f>ROUNDUP(AB111*100^2/$B119,0)</f>
        <v>18</v>
      </c>
      <c r="AC119" s="12">
        <f t="shared" si="13"/>
        <v>18</v>
      </c>
      <c r="AD119" s="12">
        <f>ROUNDUP(AD111*100^2/$B119,0)</f>
        <v>18</v>
      </c>
      <c r="AE119" s="12">
        <f t="shared" si="13"/>
        <v>17</v>
      </c>
      <c r="AF119" s="12">
        <f>ROUNDUP(AF111*100^2/$B119,0)</f>
        <v>17</v>
      </c>
      <c r="AG119" s="12">
        <f t="shared" si="13"/>
        <v>17</v>
      </c>
      <c r="AH119" s="12">
        <f>ROUNDUP(AH111*100^2/$B119,0)</f>
        <v>17</v>
      </c>
      <c r="AI119" s="12">
        <f t="shared" si="13"/>
        <v>17</v>
      </c>
      <c r="AJ119" s="12">
        <f>ROUNDUP(AJ111*100^2/$B119,0)</f>
        <v>17</v>
      </c>
      <c r="AK119" s="12">
        <f t="shared" si="13"/>
        <v>17</v>
      </c>
    </row>
    <row r="120" spans="1:37" ht="15">
      <c r="A120" s="9">
        <v>54</v>
      </c>
      <c r="B120" s="13">
        <v>400</v>
      </c>
      <c r="C120" s="14">
        <f aca="true" t="shared" si="14" ref="C120:AK120">ROUNDUP(C111*100^2/$B120,0)</f>
        <v>21</v>
      </c>
      <c r="D120" s="14">
        <f>ROUNDUP(D111*100^2/$B120,0)</f>
        <v>21</v>
      </c>
      <c r="E120" s="14">
        <f t="shared" si="14"/>
        <v>20</v>
      </c>
      <c r="F120" s="14">
        <f>ROUNDUP(F111*100^2/$B120,0)</f>
        <v>20</v>
      </c>
      <c r="G120" s="14">
        <f t="shared" si="14"/>
        <v>20</v>
      </c>
      <c r="H120" s="14">
        <f>ROUNDUP(H111*100^2/$B120,0)</f>
        <v>20</v>
      </c>
      <c r="I120" s="14">
        <f t="shared" si="14"/>
        <v>19</v>
      </c>
      <c r="J120" s="14">
        <f>ROUNDUP(J111*100^2/$B120,0)</f>
        <v>19</v>
      </c>
      <c r="K120" s="14">
        <f t="shared" si="14"/>
        <v>19</v>
      </c>
      <c r="L120" s="14">
        <f>ROUNDUP(L111*100^2/$B120,0)</f>
        <v>19</v>
      </c>
      <c r="M120" s="14">
        <f t="shared" si="14"/>
        <v>18</v>
      </c>
      <c r="N120" s="14">
        <f>ROUNDUP(N111*100^2/$B120,0)</f>
        <v>18</v>
      </c>
      <c r="O120" s="14">
        <f t="shared" si="14"/>
        <v>18</v>
      </c>
      <c r="P120" s="14">
        <f>ROUNDUP(P111*100^2/$B120,0)</f>
        <v>18</v>
      </c>
      <c r="Q120" s="14">
        <f t="shared" si="14"/>
        <v>17</v>
      </c>
      <c r="R120" s="14">
        <f>ROUNDUP(R111*100^2/$B120,0)</f>
        <v>17</v>
      </c>
      <c r="S120" s="14">
        <f t="shared" si="14"/>
        <v>17</v>
      </c>
      <c r="T120" s="14">
        <f>ROUNDUP(T111*100^2/$B120,0)</f>
        <v>17</v>
      </c>
      <c r="U120" s="14">
        <f t="shared" si="14"/>
        <v>17</v>
      </c>
      <c r="V120" s="14">
        <f>ROUNDUP(V111*100^2/$B120,0)</f>
        <v>16</v>
      </c>
      <c r="W120" s="14">
        <f t="shared" si="14"/>
        <v>16</v>
      </c>
      <c r="X120" s="14">
        <f>ROUNDUP(X111*100^2/$B120,0)</f>
        <v>16</v>
      </c>
      <c r="Y120" s="14">
        <f t="shared" si="14"/>
        <v>16</v>
      </c>
      <c r="Z120" s="14">
        <f>ROUNDUP(Z111*100^2/$B120,0)</f>
        <v>16</v>
      </c>
      <c r="AA120" s="14">
        <f t="shared" si="14"/>
        <v>16</v>
      </c>
      <c r="AB120" s="14">
        <f>ROUNDUP(AB111*100^2/$B120,0)</f>
        <v>16</v>
      </c>
      <c r="AC120" s="14">
        <f t="shared" si="14"/>
        <v>16</v>
      </c>
      <c r="AD120" s="14">
        <f>ROUNDUP(AD111*100^2/$B120,0)</f>
        <v>15</v>
      </c>
      <c r="AE120" s="14">
        <f t="shared" si="14"/>
        <v>15</v>
      </c>
      <c r="AF120" s="14">
        <f>ROUNDUP(AF111*100^2/$B120,0)</f>
        <v>15</v>
      </c>
      <c r="AG120" s="14">
        <f t="shared" si="14"/>
        <v>15</v>
      </c>
      <c r="AH120" s="14">
        <f>ROUNDUP(AH111*100^2/$B120,0)</f>
        <v>15</v>
      </c>
      <c r="AI120" s="14">
        <f t="shared" si="14"/>
        <v>15</v>
      </c>
      <c r="AJ120" s="14">
        <f>ROUNDUP(AJ111*100^2/$B120,0)</f>
        <v>15</v>
      </c>
      <c r="AK120" s="14">
        <f t="shared" si="14"/>
        <v>15</v>
      </c>
    </row>
    <row r="121" spans="1:37" ht="15">
      <c r="A121" s="40" t="s">
        <v>58</v>
      </c>
      <c r="B121" s="68" t="s">
        <v>42</v>
      </c>
      <c r="C121" s="67">
        <f aca="true" t="shared" si="15" ref="C121:AK121">0.9*2.78*10^-5*$A128^1.25*C126</f>
        <v>1.1850608945825893</v>
      </c>
      <c r="D121" s="67">
        <f>0.9*2.78*10^-5*$A128^1.25*D126</f>
        <v>1.1748668223711263</v>
      </c>
      <c r="E121" s="67">
        <f t="shared" si="15"/>
        <v>1.1621242321067973</v>
      </c>
      <c r="F121" s="67">
        <f>0.9*2.78*10^-5*$A128^1.25*F126</f>
        <v>1.1493816418424683</v>
      </c>
      <c r="G121" s="67">
        <f t="shared" si="15"/>
        <v>1.1366390515781395</v>
      </c>
      <c r="H121" s="67">
        <f>0.9*2.78*10^-5*$A128^1.25*H126</f>
        <v>1.1238964613138105</v>
      </c>
      <c r="I121" s="67">
        <f t="shared" si="15"/>
        <v>1.1111538710494817</v>
      </c>
      <c r="J121" s="67">
        <f>0.9*2.78*10^-5*$A128^1.25*J126</f>
        <v>1.0984112807851527</v>
      </c>
      <c r="K121" s="67">
        <f t="shared" si="15"/>
        <v>1.0856686905208237</v>
      </c>
      <c r="L121" s="67">
        <f>0.9*2.78*10^-5*$A128^1.25*L126</f>
        <v>1.072926100256495</v>
      </c>
      <c r="M121" s="67">
        <f t="shared" si="15"/>
        <v>1.060183509992166</v>
      </c>
      <c r="N121" s="67">
        <f>0.9*2.78*10^-5*$A128^1.25*N126</f>
        <v>1.0474409197278371</v>
      </c>
      <c r="O121" s="67">
        <f t="shared" si="15"/>
        <v>1.0346983294635081</v>
      </c>
      <c r="P121" s="67">
        <f>0.9*2.78*10^-5*$A128^1.25*P126</f>
        <v>1.0219557391991794</v>
      </c>
      <c r="Q121" s="67">
        <f t="shared" si="15"/>
        <v>1.0092131489348504</v>
      </c>
      <c r="R121" s="67">
        <f>0.9*2.78*10^-5*$A128^1.25*R126</f>
        <v>0.9964705586705215</v>
      </c>
      <c r="S121" s="67">
        <f t="shared" si="15"/>
        <v>0.9837279684061926</v>
      </c>
      <c r="T121" s="67">
        <f>0.9*2.78*10^-5*$A128^1.25*T126</f>
        <v>0.9709853781418636</v>
      </c>
      <c r="U121" s="67">
        <f t="shared" si="15"/>
        <v>0.9582427878775346</v>
      </c>
      <c r="V121" s="67">
        <f>0.9*2.78*10^-5*$A128^1.25*V126</f>
        <v>0.9467744566396387</v>
      </c>
      <c r="W121" s="67">
        <f t="shared" si="15"/>
        <v>0.9404031615074742</v>
      </c>
      <c r="X121" s="67">
        <f>0.9*2.78*10^-5*$A128^1.25*X126</f>
        <v>0.9340318663753097</v>
      </c>
      <c r="Y121" s="67">
        <f t="shared" si="15"/>
        <v>0.9276605712431453</v>
      </c>
      <c r="Z121" s="67">
        <f>0.9*2.78*10^-5*$A128^1.25*Z126</f>
        <v>0.9212892761109808</v>
      </c>
      <c r="AA121" s="67">
        <f t="shared" si="15"/>
        <v>0.9149179809788164</v>
      </c>
      <c r="AB121" s="67">
        <f>0.9*2.78*10^-5*$A128^1.25*AB126</f>
        <v>0.9085466858466519</v>
      </c>
      <c r="AC121" s="67">
        <f t="shared" si="15"/>
        <v>0.9021753907144875</v>
      </c>
      <c r="AD121" s="67">
        <f>0.9*2.78*10^-5*$A128^1.25*AD126</f>
        <v>0.895804095582323</v>
      </c>
      <c r="AE121" s="67">
        <f t="shared" si="15"/>
        <v>0.8894328004501585</v>
      </c>
      <c r="AF121" s="67">
        <f>0.9*2.78*10^-5*$A128^1.25*AF126</f>
        <v>0.8830615053179941</v>
      </c>
      <c r="AG121" s="67">
        <f t="shared" si="15"/>
        <v>0.8766902101858296</v>
      </c>
      <c r="AH121" s="67">
        <f>0.9*2.78*10^-5*$A128^1.25*AH126</f>
        <v>0.8703189150536652</v>
      </c>
      <c r="AI121" s="67">
        <f t="shared" si="15"/>
        <v>0.8639476199215006</v>
      </c>
      <c r="AJ121" s="67">
        <f>0.9*2.78*10^-5*$A128^1.25*AJ126</f>
        <v>0.8575763247893361</v>
      </c>
      <c r="AK121" s="67">
        <f t="shared" si="15"/>
        <v>0.8512050296571717</v>
      </c>
    </row>
    <row r="122" spans="2:37" ht="15">
      <c r="B122" s="68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2:37" ht="15" customHeight="1" hidden="1">
      <c r="B123" s="71" t="s">
        <v>55</v>
      </c>
      <c r="C123" s="9">
        <v>1.68</v>
      </c>
      <c r="D123" s="9">
        <v>1.68</v>
      </c>
      <c r="E123" s="9">
        <v>1.68</v>
      </c>
      <c r="F123" s="9">
        <v>1.68</v>
      </c>
      <c r="G123" s="9">
        <v>1.68</v>
      </c>
      <c r="H123" s="9">
        <v>1.68</v>
      </c>
      <c r="I123" s="9">
        <v>1.65</v>
      </c>
      <c r="J123" s="9">
        <v>1.68</v>
      </c>
      <c r="K123" s="9">
        <v>1.62</v>
      </c>
      <c r="L123" s="9">
        <v>1.68</v>
      </c>
      <c r="M123" s="9">
        <v>1.59</v>
      </c>
      <c r="N123" s="9">
        <v>1.68</v>
      </c>
      <c r="O123" s="9">
        <v>1.56</v>
      </c>
      <c r="P123" s="9">
        <v>1.68</v>
      </c>
      <c r="Q123" s="9">
        <v>1.53</v>
      </c>
      <c r="R123" s="9">
        <v>1.68</v>
      </c>
      <c r="S123" s="9">
        <v>1.5</v>
      </c>
      <c r="T123" s="9">
        <v>1.68</v>
      </c>
      <c r="U123" s="9">
        <v>1.48</v>
      </c>
      <c r="V123" s="9">
        <v>1.68</v>
      </c>
      <c r="W123" s="9">
        <v>1.45</v>
      </c>
      <c r="X123" s="9">
        <v>1.68</v>
      </c>
      <c r="Y123" s="9">
        <v>1.42</v>
      </c>
      <c r="Z123" s="9">
        <v>1.42</v>
      </c>
      <c r="AA123" s="9">
        <v>1.4</v>
      </c>
      <c r="AB123" s="9">
        <v>1.42</v>
      </c>
      <c r="AC123" s="9">
        <v>1.37</v>
      </c>
      <c r="AD123" s="9">
        <v>1.37</v>
      </c>
      <c r="AE123" s="9">
        <v>1.35</v>
      </c>
      <c r="AF123" s="9">
        <v>1.37</v>
      </c>
      <c r="AG123" s="9">
        <v>1.33</v>
      </c>
      <c r="AH123" s="9">
        <v>1.37</v>
      </c>
      <c r="AI123" s="9">
        <v>1.3</v>
      </c>
      <c r="AJ123" s="9">
        <v>1.37</v>
      </c>
      <c r="AK123" s="9">
        <v>1.28</v>
      </c>
    </row>
    <row r="124" spans="1:37" ht="15" customHeight="1" hidden="1">
      <c r="A124" s="9"/>
      <c r="B124" s="71"/>
      <c r="C124" s="35">
        <f aca="true" t="shared" si="16" ref="C124:H124">C121-C123</f>
        <v>-0.4949391054174106</v>
      </c>
      <c r="D124" s="35">
        <f t="shared" si="16"/>
        <v>-0.5051331776288737</v>
      </c>
      <c r="E124" s="35">
        <f t="shared" si="16"/>
        <v>-0.5178757678932027</v>
      </c>
      <c r="F124" s="35">
        <f t="shared" si="16"/>
        <v>-0.5306183581575317</v>
      </c>
      <c r="G124" s="35">
        <f t="shared" si="16"/>
        <v>-0.5433609484218604</v>
      </c>
      <c r="H124" s="35">
        <f t="shared" si="16"/>
        <v>-0.5561035386861894</v>
      </c>
      <c r="I124" s="35">
        <f aca="true" t="shared" si="17" ref="I124:AK124">I121-I123</f>
        <v>-0.5388461289505182</v>
      </c>
      <c r="J124" s="35">
        <f>J121-J123</f>
        <v>-0.5815887192148472</v>
      </c>
      <c r="K124" s="35">
        <f t="shared" si="17"/>
        <v>-0.5343313094791764</v>
      </c>
      <c r="L124" s="35">
        <f>L121-L123</f>
        <v>-0.607073899743505</v>
      </c>
      <c r="M124" s="35">
        <f t="shared" si="17"/>
        <v>-0.5298164900078342</v>
      </c>
      <c r="N124" s="35">
        <f>N121-N123</f>
        <v>-0.6325590802721628</v>
      </c>
      <c r="O124" s="35">
        <f t="shared" si="17"/>
        <v>-0.5253016705364919</v>
      </c>
      <c r="P124" s="35">
        <f>P121-P123</f>
        <v>-0.6580442608008206</v>
      </c>
      <c r="Q124" s="35">
        <f t="shared" si="17"/>
        <v>-0.5207868510651497</v>
      </c>
      <c r="R124" s="35">
        <f>R121-R123</f>
        <v>-0.6835294413294785</v>
      </c>
      <c r="S124" s="35">
        <f t="shared" si="17"/>
        <v>-0.5162720315938074</v>
      </c>
      <c r="T124" s="35">
        <f>T121-T123</f>
        <v>-0.7090146218581364</v>
      </c>
      <c r="U124" s="35">
        <f t="shared" si="17"/>
        <v>-0.5217572121224654</v>
      </c>
      <c r="V124" s="35">
        <f>V121-V123</f>
        <v>-0.7332255433603613</v>
      </c>
      <c r="W124" s="35">
        <f t="shared" si="17"/>
        <v>-0.5095968384925258</v>
      </c>
      <c r="X124" s="35">
        <f>X121-X123</f>
        <v>-0.7459681336246903</v>
      </c>
      <c r="Y124" s="35">
        <f t="shared" si="17"/>
        <v>-0.49233942875685466</v>
      </c>
      <c r="Z124" s="35">
        <f>Z121-Z123</f>
        <v>-0.49871072388901916</v>
      </c>
      <c r="AA124" s="35">
        <f t="shared" si="17"/>
        <v>-0.48508201902118353</v>
      </c>
      <c r="AB124" s="35">
        <f>AB121-AB123</f>
        <v>-0.511453314153348</v>
      </c>
      <c r="AC124" s="35">
        <f t="shared" si="17"/>
        <v>-0.4678246092855126</v>
      </c>
      <c r="AD124" s="35">
        <f>AD121-AD123</f>
        <v>-0.4741959044176771</v>
      </c>
      <c r="AE124" s="35">
        <f t="shared" si="17"/>
        <v>-0.4605671995498416</v>
      </c>
      <c r="AF124" s="35">
        <f>AF121-AF123</f>
        <v>-0.486938494682006</v>
      </c>
      <c r="AG124" s="35">
        <f t="shared" si="17"/>
        <v>-0.45330978981417047</v>
      </c>
      <c r="AH124" s="35">
        <f>AH121-AH123</f>
        <v>-0.4996810849463349</v>
      </c>
      <c r="AI124" s="35">
        <f t="shared" si="17"/>
        <v>-0.43605238007849945</v>
      </c>
      <c r="AJ124" s="35">
        <f>AJ121-AJ123</f>
        <v>-0.512423675210664</v>
      </c>
      <c r="AK124" s="35">
        <f t="shared" si="17"/>
        <v>-0.4287949703428283</v>
      </c>
    </row>
    <row r="125" spans="2:37" ht="15" customHeight="1" hidden="1">
      <c r="B125" s="11" t="s">
        <v>31</v>
      </c>
      <c r="C125" s="34">
        <f>C$110*1000/$A130</f>
        <v>48.38709677419355</v>
      </c>
      <c r="D125" s="34">
        <f>D$110*1000/$A130</f>
        <v>56.45161290322581</v>
      </c>
      <c r="E125" s="34">
        <f aca="true" t="shared" si="18" ref="E125:AK125">E$110*1000/$A130</f>
        <v>64.51612903225806</v>
      </c>
      <c r="F125" s="34">
        <f>F$110*1000/$A130</f>
        <v>72.58064516129032</v>
      </c>
      <c r="G125" s="34">
        <f t="shared" si="18"/>
        <v>80.64516129032258</v>
      </c>
      <c r="H125" s="34">
        <f>H$110*1000/$A130</f>
        <v>88.70967741935483</v>
      </c>
      <c r="I125" s="34">
        <f t="shared" si="18"/>
        <v>96.7741935483871</v>
      </c>
      <c r="J125" s="34">
        <f>J$110*1000/$A130</f>
        <v>104.83870967741936</v>
      </c>
      <c r="K125" s="34">
        <f t="shared" si="18"/>
        <v>112.90322580645162</v>
      </c>
      <c r="L125" s="34">
        <f>L$110*1000/$A130</f>
        <v>120.96774193548387</v>
      </c>
      <c r="M125" s="34">
        <f t="shared" si="18"/>
        <v>129.03225806451613</v>
      </c>
      <c r="N125" s="34">
        <f>N$110*1000/$A130</f>
        <v>137.09677419354838</v>
      </c>
      <c r="O125" s="34">
        <f t="shared" si="18"/>
        <v>145.16129032258064</v>
      </c>
      <c r="P125" s="34">
        <f>P$110*1000/$A130</f>
        <v>153.2258064516129</v>
      </c>
      <c r="Q125" s="34">
        <f t="shared" si="18"/>
        <v>161.29032258064515</v>
      </c>
      <c r="R125" s="34">
        <f>R$110*1000/$A130</f>
        <v>169.3548387096774</v>
      </c>
      <c r="S125" s="34">
        <f t="shared" si="18"/>
        <v>177.41935483870967</v>
      </c>
      <c r="T125" s="34">
        <f>T$110*1000/$A130</f>
        <v>185.48387096774192</v>
      </c>
      <c r="U125" s="34">
        <f t="shared" si="18"/>
        <v>193.5483870967742</v>
      </c>
      <c r="V125" s="34">
        <f>V$110*1000/$A130</f>
        <v>201.61290322580646</v>
      </c>
      <c r="W125" s="34">
        <f t="shared" si="18"/>
        <v>209.67741935483872</v>
      </c>
      <c r="X125" s="34">
        <f>X$110*1000/$A130</f>
        <v>217.74193548387098</v>
      </c>
      <c r="Y125" s="34">
        <f t="shared" si="18"/>
        <v>225.80645161290323</v>
      </c>
      <c r="Z125" s="34">
        <f>Z$110*1000/$A130</f>
        <v>233.8709677419355</v>
      </c>
      <c r="AA125" s="34">
        <f t="shared" si="18"/>
        <v>241.93548387096774</v>
      </c>
      <c r="AB125" s="34">
        <f>AB$110*1000/$A130</f>
        <v>250</v>
      </c>
      <c r="AC125" s="34">
        <f t="shared" si="18"/>
        <v>258.06451612903226</v>
      </c>
      <c r="AD125" s="34">
        <f>AD$110*1000/$A130</f>
        <v>266.1290322580645</v>
      </c>
      <c r="AE125" s="34">
        <f t="shared" si="18"/>
        <v>274.19354838709677</v>
      </c>
      <c r="AF125" s="34">
        <f>AF$110*1000/$A130</f>
        <v>282.258064516129</v>
      </c>
      <c r="AG125" s="34">
        <f t="shared" si="18"/>
        <v>290.3225806451613</v>
      </c>
      <c r="AH125" s="34">
        <f>AH$110*1000/$A130</f>
        <v>298.38709677419354</v>
      </c>
      <c r="AI125" s="34">
        <f t="shared" si="18"/>
        <v>306.4516129032258</v>
      </c>
      <c r="AJ125" s="34">
        <f>AJ$110*1000/$A130</f>
        <v>314.51612903225805</v>
      </c>
      <c r="AK125" s="34">
        <f t="shared" si="18"/>
        <v>322.5806451612903</v>
      </c>
    </row>
    <row r="126" spans="2:37" ht="18" customHeight="1" hidden="1">
      <c r="B126" s="11" t="s">
        <v>30</v>
      </c>
      <c r="C126" s="35">
        <f>IF(C125&gt;=50,IF(C125&lt;=200,$C$103*(C125-50)+1,$C$105*(C125-200)+0.8),1)</f>
        <v>1</v>
      </c>
      <c r="D126" s="35">
        <f>IF(D125&gt;=50,IF(D125&lt;=200,$C$103*(D125-50)+1,$C$105*(D125-200)+0.8),1)</f>
        <v>0.9913978494623656</v>
      </c>
      <c r="E126" s="35">
        <f>IF(E125&gt;=50,IF(E125&lt;=200,$C$103*(E125-50)+1,$C$105*(E125-200)+0.8),1)</f>
        <v>0.9806451612903226</v>
      </c>
      <c r="F126" s="35">
        <f>IF(F125&gt;=50,IF(F125&lt;=200,$C$103*(F125-50)+1,$C$105*(F125-200)+0.8),1)</f>
        <v>0.9698924731182795</v>
      </c>
      <c r="G126" s="35">
        <f>IF(G125&gt;=50,IF(G125&lt;=200,$C$103*(G125-50)+1,$C$105*(G125-200)+0.8),1)</f>
        <v>0.9591397849462365</v>
      </c>
      <c r="H126" s="35">
        <f>IF(H125&gt;=50,IF(H125&lt;=200,$C$103*(H125-50)+1,$C$105*(H125-200)+0.8),1)</f>
        <v>0.9483870967741935</v>
      </c>
      <c r="I126" s="35">
        <f>IF(I125&gt;=50,IF(I125&lt;=200,$C$103*(I125-50)+1,$C$105*(I125-200)+0.8),1)</f>
        <v>0.9376344086021505</v>
      </c>
      <c r="J126" s="35">
        <f>IF(J125&gt;=50,IF(J125&lt;=200,$C$103*(J125-50)+1,$C$105*(J125-200)+0.8),1)</f>
        <v>0.9268817204301075</v>
      </c>
      <c r="K126" s="35">
        <f>IF(K125&gt;=50,IF(K125&lt;=200,$C$103*(K125-50)+1,$C$105*(K125-200)+0.8),1)</f>
        <v>0.9161290322580645</v>
      </c>
      <c r="L126" s="35">
        <f>IF(L125&gt;=50,IF(L125&lt;=200,$C$103*(L125-50)+1,$C$105*(L125-200)+0.8),1)</f>
        <v>0.9053763440860215</v>
      </c>
      <c r="M126" s="35">
        <f>IF(M125&gt;=50,IF(M125&lt;=200,$C$103*(M125-50)+1,$C$105*(M125-200)+0.8),1)</f>
        <v>0.8946236559139785</v>
      </c>
      <c r="N126" s="35">
        <f>IF(N125&gt;=50,IF(N125&lt;=200,$C$103*(N125-50)+1,$C$105*(N125-200)+0.8),1)</f>
        <v>0.8838709677419355</v>
      </c>
      <c r="O126" s="35">
        <f>IF(O125&gt;=50,IF(O125&lt;=200,$C$103*(O125-50)+1,$C$105*(O125-200)+0.8),1)</f>
        <v>0.8731182795698925</v>
      </c>
      <c r="P126" s="35">
        <f>IF(P125&gt;=50,IF(P125&lt;=200,$C$103*(P125-50)+1,$C$105*(P125-200)+0.8),1)</f>
        <v>0.8623655913978495</v>
      </c>
      <c r="Q126" s="35">
        <f>IF(Q125&gt;=50,IF(Q125&lt;=200,$C$103*(Q125-50)+1,$C$105*(Q125-200)+0.8),1)</f>
        <v>0.8516129032258065</v>
      </c>
      <c r="R126" s="35">
        <f>IF(R125&gt;=50,IF(R125&lt;=200,$C$103*(R125-50)+1,$C$105*(R125-200)+0.8),1)</f>
        <v>0.8408602150537635</v>
      </c>
      <c r="S126" s="35">
        <f>IF(S125&gt;=50,IF(S125&lt;=200,$C$103*(S125-50)+1,$C$105*(S125-200)+0.8),1)</f>
        <v>0.8301075268817205</v>
      </c>
      <c r="T126" s="35">
        <f>IF(T125&gt;=50,IF(T125&lt;=200,$C$103*(T125-50)+1,$C$105*(T125-200)+0.8),1)</f>
        <v>0.8193548387096775</v>
      </c>
      <c r="U126" s="35">
        <f>IF(U125&gt;=50,IF(U125&lt;=200,$C$103*(U125-50)+1,$C$105*(U125-200)+0.8),1)</f>
        <v>0.8086021505376344</v>
      </c>
      <c r="V126" s="35">
        <f>IF(V125&gt;=50,IF(V125&lt;=200,$C$103*(V125-50)+1,$C$105*(V125-200)+0.8),1)</f>
        <v>0.7989247311827957</v>
      </c>
      <c r="W126" s="35">
        <f>IF(W125&gt;=50,IF(W125&lt;=200,$C$103*(W125-50)+1,$C$105*(W125-200)+0.8),1)</f>
        <v>0.7935483870967742</v>
      </c>
      <c r="X126" s="35">
        <f>IF(X125&gt;=50,IF(X125&lt;=200,$C$103*(X125-50)+1,$C$105*(X125-200)+0.8),1)</f>
        <v>0.7881720430107527</v>
      </c>
      <c r="Y126" s="35">
        <f>IF(Y125&gt;=50,IF(Y125&lt;=200,$C$103*(Y125-50)+1,$C$105*(Y125-200)+0.8),1)</f>
        <v>0.7827956989247312</v>
      </c>
      <c r="Z126" s="35">
        <f>IF(Z125&gt;=50,IF(Z125&lt;=200,$C$103*(Z125-50)+1,$C$105*(Z125-200)+0.8),1)</f>
        <v>0.7774193548387097</v>
      </c>
      <c r="AA126" s="35">
        <f>IF(AA125&gt;=50,IF(AA125&lt;=200,$C$103*(AA125-50)+1,$C$105*(AA125-200)+0.8),1)</f>
        <v>0.7720430107526882</v>
      </c>
      <c r="AB126" s="35">
        <f>IF(AB125&gt;=50,IF(AB125&lt;=200,$C$103*(AB125-50)+1,$C$105*(AB125-200)+0.8),1)</f>
        <v>0.7666666666666667</v>
      </c>
      <c r="AC126" s="35">
        <f aca="true" t="shared" si="19" ref="AC126:AJ126">IF(AC125&gt;=50,IF(AC125&lt;=200,$C$103*(AC125-50)+1,$C$105*(AC125-200)+0.8),1)</f>
        <v>0.7612903225806452</v>
      </c>
      <c r="AD126" s="35">
        <f t="shared" si="19"/>
        <v>0.7559139784946237</v>
      </c>
      <c r="AE126" s="35">
        <f>IF(AE125&gt;=50,IF(AE125&lt;=200,$C$103*(AE125-50)+1,$C$105*(AE125-200)+0.8),1)</f>
        <v>0.7505376344086022</v>
      </c>
      <c r="AF126" s="35">
        <f t="shared" si="19"/>
        <v>0.7451612903225807</v>
      </c>
      <c r="AG126" s="35">
        <f>IF(AG125&gt;=50,IF(AG125&lt;=200,$C$103*(AG125-50)+1,$C$105*(AG125-200)+0.8),1)</f>
        <v>0.7397849462365592</v>
      </c>
      <c r="AH126" s="35">
        <f t="shared" si="19"/>
        <v>0.7344086021505377</v>
      </c>
      <c r="AI126" s="35">
        <f>IF(AI125&gt;=50,IF(AI125&lt;=200,$C$103*(AI125-50)+1,$C$105*(AI125-200)+0.8),1)</f>
        <v>0.7290322580645161</v>
      </c>
      <c r="AJ126" s="35">
        <f t="shared" si="19"/>
        <v>0.7236559139784946</v>
      </c>
      <c r="AK126" s="35">
        <f>IF(AK125&gt;=50,IF(AK125&lt;=200,$C$103*(AK125-50)+1,$C$105*(AK125-200)+0.8),1)</f>
        <v>0.7182795698924731</v>
      </c>
    </row>
    <row r="127" spans="1:37" ht="17.25">
      <c r="A127" s="9" t="s">
        <v>60</v>
      </c>
      <c r="B127" s="9">
        <v>250</v>
      </c>
      <c r="C127" s="12">
        <f aca="true" t="shared" si="20" ref="C127:AK127">ROUNDUP(C121*100^2/$B127,0)</f>
        <v>48</v>
      </c>
      <c r="D127" s="12">
        <f>ROUNDUP(D121*100^2/$B127,0)</f>
        <v>47</v>
      </c>
      <c r="E127" s="12">
        <f t="shared" si="20"/>
        <v>47</v>
      </c>
      <c r="F127" s="12">
        <f>ROUNDUP(F121*100^2/$B127,0)</f>
        <v>46</v>
      </c>
      <c r="G127" s="12">
        <f t="shared" si="20"/>
        <v>46</v>
      </c>
      <c r="H127" s="12">
        <f>ROUNDUP(H121*100^2/$B127,0)</f>
        <v>45</v>
      </c>
      <c r="I127" s="12">
        <f t="shared" si="20"/>
        <v>45</v>
      </c>
      <c r="J127" s="12">
        <f>ROUNDUP(J121*100^2/$B127,0)</f>
        <v>44</v>
      </c>
      <c r="K127" s="12">
        <f t="shared" si="20"/>
        <v>44</v>
      </c>
      <c r="L127" s="12">
        <f>ROUNDUP(L121*100^2/$B127,0)</f>
        <v>43</v>
      </c>
      <c r="M127" s="12">
        <f t="shared" si="20"/>
        <v>43</v>
      </c>
      <c r="N127" s="12">
        <f>ROUNDUP(N121*100^2/$B127,0)</f>
        <v>42</v>
      </c>
      <c r="O127" s="12">
        <f t="shared" si="20"/>
        <v>42</v>
      </c>
      <c r="P127" s="12">
        <f>ROUNDUP(P121*100^2/$B127,0)</f>
        <v>41</v>
      </c>
      <c r="Q127" s="12">
        <f t="shared" si="20"/>
        <v>41</v>
      </c>
      <c r="R127" s="12">
        <f>ROUNDUP(R121*100^2/$B127,0)</f>
        <v>40</v>
      </c>
      <c r="S127" s="12">
        <f t="shared" si="20"/>
        <v>40</v>
      </c>
      <c r="T127" s="12">
        <f>ROUNDUP(T121*100^2/$B127,0)</f>
        <v>39</v>
      </c>
      <c r="U127" s="12">
        <f t="shared" si="20"/>
        <v>39</v>
      </c>
      <c r="V127" s="12">
        <f>ROUNDUP(V121*100^2/$B127,0)</f>
        <v>38</v>
      </c>
      <c r="W127" s="12">
        <f t="shared" si="20"/>
        <v>38</v>
      </c>
      <c r="X127" s="12">
        <f>ROUNDUP(X121*100^2/$B127,0)</f>
        <v>38</v>
      </c>
      <c r="Y127" s="12">
        <f t="shared" si="20"/>
        <v>38</v>
      </c>
      <c r="Z127" s="12">
        <f>ROUNDUP(Z121*100^2/$B127,0)</f>
        <v>37</v>
      </c>
      <c r="AA127" s="12">
        <f t="shared" si="20"/>
        <v>37</v>
      </c>
      <c r="AB127" s="12">
        <f>ROUNDUP(AB121*100^2/$B127,0)</f>
        <v>37</v>
      </c>
      <c r="AC127" s="12">
        <f t="shared" si="20"/>
        <v>37</v>
      </c>
      <c r="AD127" s="12">
        <f>ROUNDUP(AD121*100^2/$B127,0)</f>
        <v>36</v>
      </c>
      <c r="AE127" s="12">
        <f t="shared" si="20"/>
        <v>36</v>
      </c>
      <c r="AF127" s="12">
        <f>ROUNDUP(AF121*100^2/$B127,0)</f>
        <v>36</v>
      </c>
      <c r="AG127" s="12">
        <f t="shared" si="20"/>
        <v>36</v>
      </c>
      <c r="AH127" s="12">
        <f>ROUNDUP(AH121*100^2/$B127,0)</f>
        <v>35</v>
      </c>
      <c r="AI127" s="12">
        <f t="shared" si="20"/>
        <v>35</v>
      </c>
      <c r="AJ127" s="12">
        <f>ROUNDUP(AJ121*100^2/$B127,0)</f>
        <v>35</v>
      </c>
      <c r="AK127" s="12">
        <f t="shared" si="20"/>
        <v>35</v>
      </c>
    </row>
    <row r="128" spans="1:37" ht="15">
      <c r="A128" s="9">
        <v>5500</v>
      </c>
      <c r="B128" s="9">
        <v>300</v>
      </c>
      <c r="C128" s="12">
        <f aca="true" t="shared" si="21" ref="C128:AK128">ROUNDUP(C121*100^2/$B128,0)</f>
        <v>40</v>
      </c>
      <c r="D128" s="12">
        <f>ROUNDUP(D121*100^2/$B128,0)</f>
        <v>40</v>
      </c>
      <c r="E128" s="12">
        <f t="shared" si="21"/>
        <v>39</v>
      </c>
      <c r="F128" s="12">
        <f>ROUNDUP(F121*100^2/$B128,0)</f>
        <v>39</v>
      </c>
      <c r="G128" s="12">
        <f t="shared" si="21"/>
        <v>38</v>
      </c>
      <c r="H128" s="12">
        <f>ROUNDUP(H121*100^2/$B128,0)</f>
        <v>38</v>
      </c>
      <c r="I128" s="12">
        <f t="shared" si="21"/>
        <v>38</v>
      </c>
      <c r="J128" s="12">
        <f>ROUNDUP(J121*100^2/$B128,0)</f>
        <v>37</v>
      </c>
      <c r="K128" s="12">
        <f t="shared" si="21"/>
        <v>37</v>
      </c>
      <c r="L128" s="12">
        <f>ROUNDUP(L121*100^2/$B128,0)</f>
        <v>36</v>
      </c>
      <c r="M128" s="12">
        <f t="shared" si="21"/>
        <v>36</v>
      </c>
      <c r="N128" s="12">
        <f>ROUNDUP(N121*100^2/$B128,0)</f>
        <v>35</v>
      </c>
      <c r="O128" s="12">
        <f t="shared" si="21"/>
        <v>35</v>
      </c>
      <c r="P128" s="12">
        <f>ROUNDUP(P121*100^2/$B128,0)</f>
        <v>35</v>
      </c>
      <c r="Q128" s="12">
        <f t="shared" si="21"/>
        <v>34</v>
      </c>
      <c r="R128" s="12">
        <f>ROUNDUP(R121*100^2/$B128,0)</f>
        <v>34</v>
      </c>
      <c r="S128" s="12">
        <f t="shared" si="21"/>
        <v>33</v>
      </c>
      <c r="T128" s="12">
        <f>ROUNDUP(T121*100^2/$B128,0)</f>
        <v>33</v>
      </c>
      <c r="U128" s="12">
        <f t="shared" si="21"/>
        <v>32</v>
      </c>
      <c r="V128" s="12">
        <f>ROUNDUP(V121*100^2/$B128,0)</f>
        <v>32</v>
      </c>
      <c r="W128" s="12">
        <f t="shared" si="21"/>
        <v>32</v>
      </c>
      <c r="X128" s="12">
        <f>ROUNDUP(X121*100^2/$B128,0)</f>
        <v>32</v>
      </c>
      <c r="Y128" s="12">
        <f t="shared" si="21"/>
        <v>31</v>
      </c>
      <c r="Z128" s="12">
        <f>ROUNDUP(Z121*100^2/$B128,0)</f>
        <v>31</v>
      </c>
      <c r="AA128" s="12">
        <f t="shared" si="21"/>
        <v>31</v>
      </c>
      <c r="AB128" s="12">
        <f>ROUNDUP(AB121*100^2/$B128,0)</f>
        <v>31</v>
      </c>
      <c r="AC128" s="12">
        <f t="shared" si="21"/>
        <v>31</v>
      </c>
      <c r="AD128" s="12">
        <f>ROUNDUP(AD121*100^2/$B128,0)</f>
        <v>30</v>
      </c>
      <c r="AE128" s="12">
        <f t="shared" si="21"/>
        <v>30</v>
      </c>
      <c r="AF128" s="12">
        <f>ROUNDUP(AF121*100^2/$B128,0)</f>
        <v>30</v>
      </c>
      <c r="AG128" s="12">
        <f t="shared" si="21"/>
        <v>30</v>
      </c>
      <c r="AH128" s="12">
        <f>ROUNDUP(AH121*100^2/$B128,0)</f>
        <v>30</v>
      </c>
      <c r="AI128" s="12">
        <f t="shared" si="21"/>
        <v>29</v>
      </c>
      <c r="AJ128" s="12">
        <f>ROUNDUP(AJ121*100^2/$B128,0)</f>
        <v>29</v>
      </c>
      <c r="AK128" s="12">
        <f t="shared" si="21"/>
        <v>29</v>
      </c>
    </row>
    <row r="129" spans="1:37" ht="15">
      <c r="A129" s="9" t="s">
        <v>61</v>
      </c>
      <c r="B129" s="9">
        <v>350</v>
      </c>
      <c r="C129" s="12">
        <f aca="true" t="shared" si="22" ref="C129:AK129">ROUNDUP(C121*100^2/$B129,0)</f>
        <v>34</v>
      </c>
      <c r="D129" s="12">
        <f>ROUNDUP(D121*100^2/$B129,0)</f>
        <v>34</v>
      </c>
      <c r="E129" s="12">
        <f t="shared" si="22"/>
        <v>34</v>
      </c>
      <c r="F129" s="12">
        <f>ROUNDUP(F121*100^2/$B129,0)</f>
        <v>33</v>
      </c>
      <c r="G129" s="12">
        <f t="shared" si="22"/>
        <v>33</v>
      </c>
      <c r="H129" s="12">
        <f>ROUNDUP(H121*100^2/$B129,0)</f>
        <v>33</v>
      </c>
      <c r="I129" s="12">
        <f t="shared" si="22"/>
        <v>32</v>
      </c>
      <c r="J129" s="12">
        <f>ROUNDUP(J121*100^2/$B129,0)</f>
        <v>32</v>
      </c>
      <c r="K129" s="12">
        <f t="shared" si="22"/>
        <v>32</v>
      </c>
      <c r="L129" s="12">
        <f>ROUNDUP(L121*100^2/$B129,0)</f>
        <v>31</v>
      </c>
      <c r="M129" s="12">
        <f t="shared" si="22"/>
        <v>31</v>
      </c>
      <c r="N129" s="12">
        <f>ROUNDUP(N121*100^2/$B129,0)</f>
        <v>30</v>
      </c>
      <c r="O129" s="12">
        <f t="shared" si="22"/>
        <v>30</v>
      </c>
      <c r="P129" s="12">
        <f>ROUNDUP(P121*100^2/$B129,0)</f>
        <v>30</v>
      </c>
      <c r="Q129" s="12">
        <f t="shared" si="22"/>
        <v>29</v>
      </c>
      <c r="R129" s="12">
        <f>ROUNDUP(R121*100^2/$B129,0)</f>
        <v>29</v>
      </c>
      <c r="S129" s="12">
        <f t="shared" si="22"/>
        <v>29</v>
      </c>
      <c r="T129" s="12">
        <f>ROUNDUP(T121*100^2/$B129,0)</f>
        <v>28</v>
      </c>
      <c r="U129" s="12">
        <f t="shared" si="22"/>
        <v>28</v>
      </c>
      <c r="V129" s="12">
        <f>ROUNDUP(V121*100^2/$B129,0)</f>
        <v>28</v>
      </c>
      <c r="W129" s="12">
        <f t="shared" si="22"/>
        <v>27</v>
      </c>
      <c r="X129" s="12">
        <f>ROUNDUP(X121*100^2/$B129,0)</f>
        <v>27</v>
      </c>
      <c r="Y129" s="12">
        <f t="shared" si="22"/>
        <v>27</v>
      </c>
      <c r="Z129" s="12">
        <f>ROUNDUP(Z121*100^2/$B129,0)</f>
        <v>27</v>
      </c>
      <c r="AA129" s="12">
        <f t="shared" si="22"/>
        <v>27</v>
      </c>
      <c r="AB129" s="12">
        <f>ROUNDUP(AB121*100^2/$B129,0)</f>
        <v>26</v>
      </c>
      <c r="AC129" s="12">
        <f t="shared" si="22"/>
        <v>26</v>
      </c>
      <c r="AD129" s="12">
        <f>ROUNDUP(AD121*100^2/$B129,0)</f>
        <v>26</v>
      </c>
      <c r="AE129" s="12">
        <f t="shared" si="22"/>
        <v>26</v>
      </c>
      <c r="AF129" s="12">
        <f>ROUNDUP(AF121*100^2/$B129,0)</f>
        <v>26</v>
      </c>
      <c r="AG129" s="12">
        <f t="shared" si="22"/>
        <v>26</v>
      </c>
      <c r="AH129" s="12">
        <f>ROUNDUP(AH121*100^2/$B129,0)</f>
        <v>25</v>
      </c>
      <c r="AI129" s="12">
        <f t="shared" si="22"/>
        <v>25</v>
      </c>
      <c r="AJ129" s="12">
        <f>ROUNDUP(AJ121*100^2/$B129,0)</f>
        <v>25</v>
      </c>
      <c r="AK129" s="12">
        <f t="shared" si="22"/>
        <v>25</v>
      </c>
    </row>
    <row r="130" spans="1:37" ht="15">
      <c r="A130" s="9">
        <v>62</v>
      </c>
      <c r="B130" s="13">
        <v>400</v>
      </c>
      <c r="C130" s="14">
        <f aca="true" t="shared" si="23" ref="C130:AK130">ROUNDUP(C121*100^2/$B130,0)</f>
        <v>30</v>
      </c>
      <c r="D130" s="14">
        <f>ROUNDUP(D121*100^2/$B130,0)</f>
        <v>30</v>
      </c>
      <c r="E130" s="14">
        <f t="shared" si="23"/>
        <v>30</v>
      </c>
      <c r="F130" s="14">
        <f>ROUNDUP(F121*100^2/$B130,0)</f>
        <v>29</v>
      </c>
      <c r="G130" s="14">
        <f t="shared" si="23"/>
        <v>29</v>
      </c>
      <c r="H130" s="14">
        <f>ROUNDUP(H121*100^2/$B130,0)</f>
        <v>29</v>
      </c>
      <c r="I130" s="14">
        <f t="shared" si="23"/>
        <v>28</v>
      </c>
      <c r="J130" s="14">
        <f>ROUNDUP(J121*100^2/$B130,0)</f>
        <v>28</v>
      </c>
      <c r="K130" s="14">
        <f t="shared" si="23"/>
        <v>28</v>
      </c>
      <c r="L130" s="14">
        <f>ROUNDUP(L121*100^2/$B130,0)</f>
        <v>27</v>
      </c>
      <c r="M130" s="14">
        <f t="shared" si="23"/>
        <v>27</v>
      </c>
      <c r="N130" s="14">
        <f>ROUNDUP(N121*100^2/$B130,0)</f>
        <v>27</v>
      </c>
      <c r="O130" s="14">
        <f t="shared" si="23"/>
        <v>26</v>
      </c>
      <c r="P130" s="14">
        <f>ROUNDUP(P121*100^2/$B130,0)</f>
        <v>26</v>
      </c>
      <c r="Q130" s="14">
        <f t="shared" si="23"/>
        <v>26</v>
      </c>
      <c r="R130" s="14">
        <f>ROUNDUP(R121*100^2/$B130,0)</f>
        <v>25</v>
      </c>
      <c r="S130" s="14">
        <f t="shared" si="23"/>
        <v>25</v>
      </c>
      <c r="T130" s="14">
        <f>ROUNDUP(T121*100^2/$B130,0)</f>
        <v>25</v>
      </c>
      <c r="U130" s="14">
        <f t="shared" si="23"/>
        <v>24</v>
      </c>
      <c r="V130" s="14">
        <f>ROUNDUP(V121*100^2/$B130,0)</f>
        <v>24</v>
      </c>
      <c r="W130" s="14">
        <f t="shared" si="23"/>
        <v>24</v>
      </c>
      <c r="X130" s="14">
        <f>ROUNDUP(X121*100^2/$B130,0)</f>
        <v>24</v>
      </c>
      <c r="Y130" s="14">
        <f t="shared" si="23"/>
        <v>24</v>
      </c>
      <c r="Z130" s="14">
        <f>ROUNDUP(Z121*100^2/$B130,0)</f>
        <v>24</v>
      </c>
      <c r="AA130" s="14">
        <f t="shared" si="23"/>
        <v>23</v>
      </c>
      <c r="AB130" s="14">
        <f>ROUNDUP(AB121*100^2/$B130,0)</f>
        <v>23</v>
      </c>
      <c r="AC130" s="14">
        <f t="shared" si="23"/>
        <v>23</v>
      </c>
      <c r="AD130" s="14">
        <f>ROUNDUP(AD121*100^2/$B130,0)</f>
        <v>23</v>
      </c>
      <c r="AE130" s="14">
        <f t="shared" si="23"/>
        <v>23</v>
      </c>
      <c r="AF130" s="14">
        <f>ROUNDUP(AF121*100^2/$B130,0)</f>
        <v>23</v>
      </c>
      <c r="AG130" s="14">
        <f t="shared" si="23"/>
        <v>22</v>
      </c>
      <c r="AH130" s="14">
        <f>ROUNDUP(AH121*100^2/$B130,0)</f>
        <v>22</v>
      </c>
      <c r="AI130" s="14">
        <f t="shared" si="23"/>
        <v>22</v>
      </c>
      <c r="AJ130" s="14">
        <f>ROUNDUP(AJ121*100^2/$B130,0)</f>
        <v>22</v>
      </c>
      <c r="AK130" s="14">
        <f t="shared" si="23"/>
        <v>22</v>
      </c>
    </row>
    <row r="131" spans="1:37" ht="15">
      <c r="A131" s="40" t="s">
        <v>59</v>
      </c>
      <c r="B131" s="68" t="s">
        <v>42</v>
      </c>
      <c r="C131" s="67">
        <f aca="true" t="shared" si="24" ref="C131:AK131">0.9*2.78*10^-5*$A138^1.25*C136</f>
        <v>2.1628420954166</v>
      </c>
      <c r="D131" s="67">
        <f>0.9*2.78*10^-5*$A138^1.25*D136</f>
        <v>2.1628420954166</v>
      </c>
      <c r="E131" s="67">
        <f t="shared" si="24"/>
        <v>2.1591449294415286</v>
      </c>
      <c r="F131" s="67">
        <f>0.9*2.78*10^-5*$A138^1.25*F136</f>
        <v>2.1406590995661734</v>
      </c>
      <c r="G131" s="67">
        <f t="shared" si="24"/>
        <v>2.1221732696908178</v>
      </c>
      <c r="H131" s="67">
        <f>0.9*2.78*10^-5*$A138^1.25*H136</f>
        <v>2.103687439815462</v>
      </c>
      <c r="I131" s="67">
        <f t="shared" si="24"/>
        <v>2.0852016099401065</v>
      </c>
      <c r="J131" s="67">
        <f>0.9*2.78*10^-5*$A138^1.25*J136</f>
        <v>2.0667157800647513</v>
      </c>
      <c r="K131" s="67">
        <f t="shared" si="24"/>
        <v>2.0482299501893952</v>
      </c>
      <c r="L131" s="67">
        <f>0.9*2.78*10^-5*$A138^1.25*L136</f>
        <v>2.02974412031404</v>
      </c>
      <c r="M131" s="67">
        <f t="shared" si="24"/>
        <v>2.0112582904386844</v>
      </c>
      <c r="N131" s="67">
        <f>0.9*2.78*10^-5*$A138^1.25*N136</f>
        <v>1.992772460563329</v>
      </c>
      <c r="O131" s="67">
        <f t="shared" si="24"/>
        <v>1.9742866306879732</v>
      </c>
      <c r="P131" s="67">
        <f>0.9*2.78*10^-5*$A138^1.25*P136</f>
        <v>1.9558008008126178</v>
      </c>
      <c r="Q131" s="67">
        <f t="shared" si="24"/>
        <v>1.9373149709372621</v>
      </c>
      <c r="R131" s="67">
        <f>0.9*2.78*10^-5*$A138^1.25*R136</f>
        <v>1.9188291410619067</v>
      </c>
      <c r="S131" s="67">
        <f t="shared" si="24"/>
        <v>1.900343311186551</v>
      </c>
      <c r="T131" s="67">
        <f>0.9*2.78*10^-5*$A138^1.25*T136</f>
        <v>1.8818574813111955</v>
      </c>
      <c r="U131" s="67">
        <f t="shared" si="24"/>
        <v>1.86337165143584</v>
      </c>
      <c r="V131" s="67">
        <f>0.9*2.78*10^-5*$A138^1.25*V136</f>
        <v>1.8448858215604844</v>
      </c>
      <c r="W131" s="67">
        <f t="shared" si="24"/>
        <v>1.826399991685129</v>
      </c>
      <c r="X131" s="67">
        <f>0.9*2.78*10^-5*$A138^1.25*X136</f>
        <v>1.8079141618097734</v>
      </c>
      <c r="Y131" s="67">
        <f t="shared" si="24"/>
        <v>1.7894283319344177</v>
      </c>
      <c r="Z131" s="67">
        <f>0.9*2.78*10^-5*$A138^1.25*Z136</f>
        <v>1.7709425020590623</v>
      </c>
      <c r="AA131" s="67">
        <f t="shared" si="24"/>
        <v>1.7524566721837065</v>
      </c>
      <c r="AB131" s="67">
        <f>0.9*2.78*10^-5*$A138^1.25*AB136</f>
        <v>1.733970842308351</v>
      </c>
      <c r="AC131" s="67">
        <f t="shared" si="24"/>
        <v>1.7228793443831378</v>
      </c>
      <c r="AD131" s="67">
        <f>0.9*2.78*10^-5*$A138^1.25*AD136</f>
        <v>1.71363642944546</v>
      </c>
      <c r="AE131" s="67">
        <f t="shared" si="24"/>
        <v>1.7043935145077824</v>
      </c>
      <c r="AF131" s="67">
        <f>0.9*2.78*10^-5*$A138^1.25*AF136</f>
        <v>1.6951505995701044</v>
      </c>
      <c r="AG131" s="67">
        <f t="shared" si="24"/>
        <v>1.6859076846324266</v>
      </c>
      <c r="AH131" s="67">
        <f>0.9*2.78*10^-5*$A138^1.25*AH136</f>
        <v>1.6766647696947488</v>
      </c>
      <c r="AI131" s="67">
        <f t="shared" si="24"/>
        <v>1.6674218547570712</v>
      </c>
      <c r="AJ131" s="67">
        <f>0.9*2.78*10^-5*$A138^1.25*AJ136</f>
        <v>1.6581789398193933</v>
      </c>
      <c r="AK131" s="67">
        <f t="shared" si="24"/>
        <v>1.6489360248817155</v>
      </c>
    </row>
    <row r="132" spans="2:37" ht="15">
      <c r="B132" s="68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</row>
    <row r="133" spans="2:37" ht="15" customHeight="1" hidden="1">
      <c r="B133" s="71" t="s">
        <v>55</v>
      </c>
      <c r="C133" s="9">
        <v>2.68</v>
      </c>
      <c r="D133" s="9">
        <v>2.68</v>
      </c>
      <c r="E133" s="9">
        <v>2.68</v>
      </c>
      <c r="F133" s="9">
        <v>2.68</v>
      </c>
      <c r="G133" s="9">
        <v>2.68</v>
      </c>
      <c r="H133" s="9">
        <v>2.68</v>
      </c>
      <c r="I133" s="9">
        <v>2.64</v>
      </c>
      <c r="J133" s="9">
        <v>2.68</v>
      </c>
      <c r="K133" s="9">
        <v>2.59</v>
      </c>
      <c r="L133" s="9">
        <v>2.68</v>
      </c>
      <c r="M133" s="9">
        <v>2.55</v>
      </c>
      <c r="N133" s="9">
        <v>2.68</v>
      </c>
      <c r="O133" s="9">
        <v>2.51</v>
      </c>
      <c r="P133" s="9">
        <v>2.68</v>
      </c>
      <c r="Q133" s="9">
        <v>2.48</v>
      </c>
      <c r="R133" s="9">
        <v>2.68</v>
      </c>
      <c r="S133" s="9">
        <v>2.44</v>
      </c>
      <c r="T133" s="9">
        <v>2.68</v>
      </c>
      <c r="U133" s="9">
        <v>2.4</v>
      </c>
      <c r="V133" s="9">
        <v>2.68</v>
      </c>
      <c r="W133" s="9">
        <v>2.36</v>
      </c>
      <c r="X133" s="9">
        <v>2.68</v>
      </c>
      <c r="Y133" s="9">
        <v>2.33</v>
      </c>
      <c r="Z133" s="9">
        <v>2.33</v>
      </c>
      <c r="AA133" s="9">
        <v>2.29</v>
      </c>
      <c r="AB133" s="9">
        <v>2.33</v>
      </c>
      <c r="AC133" s="9">
        <v>2.26</v>
      </c>
      <c r="AD133" s="9">
        <v>2.26</v>
      </c>
      <c r="AE133" s="9">
        <v>2.22</v>
      </c>
      <c r="AF133" s="9">
        <v>2.26</v>
      </c>
      <c r="AG133" s="9">
        <v>2.19</v>
      </c>
      <c r="AH133" s="9">
        <v>2.26</v>
      </c>
      <c r="AI133" s="9">
        <v>2.16</v>
      </c>
      <c r="AJ133" s="9">
        <v>2.26</v>
      </c>
      <c r="AK133" s="9">
        <v>2.13</v>
      </c>
    </row>
    <row r="134" spans="1:37" ht="15" customHeight="1" hidden="1">
      <c r="A134" s="9"/>
      <c r="B134" s="71"/>
      <c r="C134" s="35">
        <f aca="true" t="shared" si="25" ref="C134:H134">C131-C133</f>
        <v>-0.5171579045834003</v>
      </c>
      <c r="D134" s="35">
        <f t="shared" si="25"/>
        <v>-0.5171579045834003</v>
      </c>
      <c r="E134" s="35">
        <f t="shared" si="25"/>
        <v>-0.5208550705584716</v>
      </c>
      <c r="F134" s="35">
        <f t="shared" si="25"/>
        <v>-0.5393409004338268</v>
      </c>
      <c r="G134" s="35">
        <f t="shared" si="25"/>
        <v>-0.5578267303091824</v>
      </c>
      <c r="H134" s="35">
        <f t="shared" si="25"/>
        <v>-0.576312560184538</v>
      </c>
      <c r="I134" s="35">
        <f aca="true" t="shared" si="26" ref="I134:AK134">I131-I133</f>
        <v>-0.5547983900598936</v>
      </c>
      <c r="J134" s="35">
        <f>J131-J133</f>
        <v>-0.6132842199352488</v>
      </c>
      <c r="K134" s="35">
        <f t="shared" si="26"/>
        <v>-0.5417700498106046</v>
      </c>
      <c r="L134" s="35">
        <f>L131-L133</f>
        <v>-0.6502558796859601</v>
      </c>
      <c r="M134" s="35">
        <f t="shared" si="26"/>
        <v>-0.5387417095613154</v>
      </c>
      <c r="N134" s="35">
        <f>N131-N133</f>
        <v>-0.6872275394366711</v>
      </c>
      <c r="O134" s="35">
        <f t="shared" si="26"/>
        <v>-0.5357133693120266</v>
      </c>
      <c r="P134" s="35">
        <f>P131-P133</f>
        <v>-0.7241991991873824</v>
      </c>
      <c r="Q134" s="35">
        <f t="shared" si="26"/>
        <v>-0.5426850290627379</v>
      </c>
      <c r="R134" s="35">
        <f>R131-R133</f>
        <v>-0.7611708589380934</v>
      </c>
      <c r="S134" s="35">
        <f t="shared" si="26"/>
        <v>-0.5396566888134489</v>
      </c>
      <c r="T134" s="35">
        <f>T131-T133</f>
        <v>-0.7981425186888047</v>
      </c>
      <c r="U134" s="35">
        <f t="shared" si="26"/>
        <v>-0.5366283485641599</v>
      </c>
      <c r="V134" s="35">
        <f>V131-V133</f>
        <v>-0.8351141784395157</v>
      </c>
      <c r="W134" s="35">
        <f t="shared" si="26"/>
        <v>-0.5336000083148709</v>
      </c>
      <c r="X134" s="35">
        <f>X131-X133</f>
        <v>-0.8720858381902268</v>
      </c>
      <c r="Y134" s="35">
        <f t="shared" si="26"/>
        <v>-0.5405716680655823</v>
      </c>
      <c r="Z134" s="35">
        <f>Z131-Z133</f>
        <v>-0.5590574979409377</v>
      </c>
      <c r="AA134" s="35">
        <f t="shared" si="26"/>
        <v>-0.5375433278162935</v>
      </c>
      <c r="AB134" s="35">
        <f>AB131-AB133</f>
        <v>-0.596029157691649</v>
      </c>
      <c r="AC134" s="35">
        <f t="shared" si="26"/>
        <v>-0.537120655616862</v>
      </c>
      <c r="AD134" s="35">
        <f>AD131-AD133</f>
        <v>-0.5463635705545398</v>
      </c>
      <c r="AE134" s="35">
        <f t="shared" si="26"/>
        <v>-0.5156064854922178</v>
      </c>
      <c r="AF134" s="35">
        <f>AF131-AF133</f>
        <v>-0.5648494004298954</v>
      </c>
      <c r="AG134" s="35">
        <f t="shared" si="26"/>
        <v>-0.5040923153675734</v>
      </c>
      <c r="AH134" s="35">
        <f>AH131-AH133</f>
        <v>-0.583335230305251</v>
      </c>
      <c r="AI134" s="35">
        <f t="shared" si="26"/>
        <v>-0.492578145242929</v>
      </c>
      <c r="AJ134" s="35">
        <f>AJ131-AJ133</f>
        <v>-0.6018210601806064</v>
      </c>
      <c r="AK134" s="35">
        <f t="shared" si="26"/>
        <v>-0.48106397511828436</v>
      </c>
    </row>
    <row r="135" spans="2:37" ht="15" customHeight="1" hidden="1">
      <c r="B135" s="11" t="s">
        <v>31</v>
      </c>
      <c r="C135" s="34">
        <f>C$110*1000/$A140</f>
        <v>38.46153846153846</v>
      </c>
      <c r="D135" s="34">
        <f>D$110*1000/$A140</f>
        <v>44.87179487179487</v>
      </c>
      <c r="E135" s="34">
        <f aca="true" t="shared" si="27" ref="E135:AK135">E$110*1000/$A140</f>
        <v>51.282051282051285</v>
      </c>
      <c r="F135" s="34">
        <f>F$110*1000/$A140</f>
        <v>57.69230769230769</v>
      </c>
      <c r="G135" s="34">
        <f t="shared" si="27"/>
        <v>64.1025641025641</v>
      </c>
      <c r="H135" s="34">
        <f>H$110*1000/$A140</f>
        <v>70.51282051282051</v>
      </c>
      <c r="I135" s="34">
        <f t="shared" si="27"/>
        <v>76.92307692307692</v>
      </c>
      <c r="J135" s="34">
        <f>J$110*1000/$A140</f>
        <v>83.33333333333333</v>
      </c>
      <c r="K135" s="34">
        <f t="shared" si="27"/>
        <v>89.74358974358974</v>
      </c>
      <c r="L135" s="34">
        <f>L$110*1000/$A140</f>
        <v>96.15384615384616</v>
      </c>
      <c r="M135" s="34">
        <f t="shared" si="27"/>
        <v>102.56410256410257</v>
      </c>
      <c r="N135" s="34">
        <f>N$110*1000/$A140</f>
        <v>108.97435897435898</v>
      </c>
      <c r="O135" s="34">
        <f t="shared" si="27"/>
        <v>115.38461538461539</v>
      </c>
      <c r="P135" s="34">
        <f>P$110*1000/$A140</f>
        <v>121.7948717948718</v>
      </c>
      <c r="Q135" s="34">
        <f t="shared" si="27"/>
        <v>128.2051282051282</v>
      </c>
      <c r="R135" s="34">
        <f>R$110*1000/$A140</f>
        <v>134.6153846153846</v>
      </c>
      <c r="S135" s="34">
        <f t="shared" si="27"/>
        <v>141.02564102564102</v>
      </c>
      <c r="T135" s="34">
        <f>T$110*1000/$A140</f>
        <v>147.43589743589743</v>
      </c>
      <c r="U135" s="34">
        <f t="shared" si="27"/>
        <v>153.84615384615384</v>
      </c>
      <c r="V135" s="34">
        <f>V$110*1000/$A140</f>
        <v>160.25641025641025</v>
      </c>
      <c r="W135" s="34">
        <f t="shared" si="27"/>
        <v>166.66666666666666</v>
      </c>
      <c r="X135" s="34">
        <f>X$110*1000/$A140</f>
        <v>173.07692307692307</v>
      </c>
      <c r="Y135" s="34">
        <f t="shared" si="27"/>
        <v>179.48717948717947</v>
      </c>
      <c r="Z135" s="34">
        <f>Z$110*1000/$A140</f>
        <v>185.89743589743588</v>
      </c>
      <c r="AA135" s="34">
        <f t="shared" si="27"/>
        <v>192.30769230769232</v>
      </c>
      <c r="AB135" s="34">
        <f>AB$110*1000/$A140</f>
        <v>198.71794871794873</v>
      </c>
      <c r="AC135" s="34">
        <f t="shared" si="27"/>
        <v>205.12820512820514</v>
      </c>
      <c r="AD135" s="34">
        <f>AD$110*1000/$A140</f>
        <v>211.53846153846155</v>
      </c>
      <c r="AE135" s="34">
        <f t="shared" si="27"/>
        <v>217.94871794871796</v>
      </c>
      <c r="AF135" s="34">
        <f>AF$110*1000/$A140</f>
        <v>224.35897435897436</v>
      </c>
      <c r="AG135" s="34">
        <f t="shared" si="27"/>
        <v>230.76923076923077</v>
      </c>
      <c r="AH135" s="34">
        <f>AH$110*1000/$A140</f>
        <v>237.17948717948718</v>
      </c>
      <c r="AI135" s="34">
        <f t="shared" si="27"/>
        <v>243.5897435897436</v>
      </c>
      <c r="AJ135" s="34">
        <f>AJ$110*1000/$A140</f>
        <v>250</v>
      </c>
      <c r="AK135" s="34">
        <f t="shared" si="27"/>
        <v>256.4102564102564</v>
      </c>
    </row>
    <row r="136" spans="2:37" ht="18" customHeight="1" hidden="1">
      <c r="B136" s="11" t="s">
        <v>30</v>
      </c>
      <c r="C136" s="35">
        <f>IF(C135&gt;=50,IF(C135&lt;=200,$C$103*(C135-50)+1,$C$105*(C135-200)+0.8),1)</f>
        <v>1</v>
      </c>
      <c r="D136" s="35">
        <f>IF(D135&gt;=50,IF(D135&lt;=200,$C$103*(D135-50)+1,$C$105*(D135-200)+0.8),1)</f>
        <v>1</v>
      </c>
      <c r="E136" s="35">
        <f>IF(E135&gt;=50,IF(E135&lt;=200,$C$103*(E135-50)+1,$C$105*(E135-200)+0.8),1)</f>
        <v>0.9982905982905983</v>
      </c>
      <c r="F136" s="35">
        <f>IF(F135&gt;=50,IF(F135&lt;=200,$C$103*(F135-50)+1,$C$105*(F135-200)+0.8),1)</f>
        <v>0.9897435897435898</v>
      </c>
      <c r="G136" s="35">
        <f>IF(G135&gt;=50,IF(G135&lt;=200,$C$103*(G135-50)+1,$C$105*(G135-200)+0.8),1)</f>
        <v>0.9811965811965812</v>
      </c>
      <c r="H136" s="35">
        <f>IF(H135&gt;=50,IF(H135&lt;=200,$C$103*(H135-50)+1,$C$105*(H135-200)+0.8),1)</f>
        <v>0.9726495726495726</v>
      </c>
      <c r="I136" s="35">
        <f>IF(I135&gt;=50,IF(I135&lt;=200,$C$103*(I135-50)+1,$C$105*(I135-200)+0.8),1)</f>
        <v>0.9641025641025641</v>
      </c>
      <c r="J136" s="35">
        <f>IF(J135&gt;=50,IF(J135&lt;=200,$C$103*(J135-50)+1,$C$105*(J135-200)+0.8),1)</f>
        <v>0.9555555555555556</v>
      </c>
      <c r="K136" s="35">
        <f>IF(K135&gt;=50,IF(K135&lt;=200,$C$103*(K135-50)+1,$C$105*(K135-200)+0.8),1)</f>
        <v>0.947008547008547</v>
      </c>
      <c r="L136" s="35">
        <f>IF(L135&gt;=50,IF(L135&lt;=200,$C$103*(L135-50)+1,$C$105*(L135-200)+0.8),1)</f>
        <v>0.9384615384615385</v>
      </c>
      <c r="M136" s="35">
        <f>IF(M135&gt;=50,IF(M135&lt;=200,$C$103*(M135-50)+1,$C$105*(M135-200)+0.8),1)</f>
        <v>0.9299145299145299</v>
      </c>
      <c r="N136" s="35">
        <f>IF(N135&gt;=50,IF(N135&lt;=200,$C$103*(N135-50)+1,$C$105*(N135-200)+0.8),1)</f>
        <v>0.9213675213675214</v>
      </c>
      <c r="O136" s="35">
        <f>IF(O135&gt;=50,IF(O135&lt;=200,$C$103*(O135-50)+1,$C$105*(O135-200)+0.8),1)</f>
        <v>0.9128205128205128</v>
      </c>
      <c r="P136" s="35">
        <f>IF(P135&gt;=50,IF(P135&lt;=200,$C$103*(P135-50)+1,$C$105*(P135-200)+0.8),1)</f>
        <v>0.9042735042735043</v>
      </c>
      <c r="Q136" s="35">
        <f>IF(Q135&gt;=50,IF(Q135&lt;=200,$C$103*(Q135-50)+1,$C$105*(Q135-200)+0.8),1)</f>
        <v>0.8957264957264958</v>
      </c>
      <c r="R136" s="35">
        <f>IF(R135&gt;=50,IF(R135&lt;=200,$C$103*(R135-50)+1,$C$105*(R135-200)+0.8),1)</f>
        <v>0.8871794871794872</v>
      </c>
      <c r="S136" s="35">
        <f>IF(S135&gt;=50,IF(S135&lt;=200,$C$103*(S135-50)+1,$C$105*(S135-200)+0.8),1)</f>
        <v>0.8786324786324786</v>
      </c>
      <c r="T136" s="35">
        <f>IF(T135&gt;=50,IF(T135&lt;=200,$C$103*(T135-50)+1,$C$105*(T135-200)+0.8),1)</f>
        <v>0.8700854700854701</v>
      </c>
      <c r="U136" s="35">
        <f>IF(U135&gt;=50,IF(U135&lt;=200,$C$103*(U135-50)+1,$C$105*(U135-200)+0.8),1)</f>
        <v>0.8615384615384616</v>
      </c>
      <c r="V136" s="35">
        <f>IF(V135&gt;=50,IF(V135&lt;=200,$C$103*(V135-50)+1,$C$105*(V135-200)+0.8),1)</f>
        <v>0.8529914529914531</v>
      </c>
      <c r="W136" s="35">
        <f>IF(W135&gt;=50,IF(W135&lt;=200,$C$103*(W135-50)+1,$C$105*(W135-200)+0.8),1)</f>
        <v>0.8444444444444446</v>
      </c>
      <c r="X136" s="35">
        <f>IF(X135&gt;=50,IF(X135&lt;=200,$C$103*(X135-50)+1,$C$105*(X135-200)+0.8),1)</f>
        <v>0.8358974358974359</v>
      </c>
      <c r="Y136" s="35">
        <f>IF(Y135&gt;=50,IF(Y135&lt;=200,$C$103*(Y135-50)+1,$C$105*(Y135-200)+0.8),1)</f>
        <v>0.8273504273504274</v>
      </c>
      <c r="Z136" s="35">
        <f>IF(Z135&gt;=50,IF(Z135&lt;=200,$C$103*(Z135-50)+1,$C$105*(Z135-200)+0.8),1)</f>
        <v>0.8188034188034189</v>
      </c>
      <c r="AA136" s="35">
        <f>IF(AA135&gt;=50,IF(AA135&lt;=200,$C$103*(AA135-50)+1,$C$105*(AA135-200)+0.8),1)</f>
        <v>0.8102564102564103</v>
      </c>
      <c r="AB136" s="35">
        <f>IF(AB135&gt;=50,IF(AB135&lt;=200,$C$103*(AB135-50)+1,$C$105*(AB135-200)+0.8),1)</f>
        <v>0.8017094017094017</v>
      </c>
      <c r="AC136" s="35">
        <f aca="true" t="shared" si="28" ref="AC136:AJ136">IF(AC135&gt;=50,IF(AC135&lt;=200,$C$103*(AC135-50)+1,$C$105*(AC135-200)+0.8),1)</f>
        <v>0.7965811965811966</v>
      </c>
      <c r="AD136" s="35">
        <f t="shared" si="28"/>
        <v>0.7923076923076924</v>
      </c>
      <c r="AE136" s="35">
        <f>IF(AE135&gt;=50,IF(AE135&lt;=200,$C$103*(AE135-50)+1,$C$105*(AE135-200)+0.8),1)</f>
        <v>0.7880341880341881</v>
      </c>
      <c r="AF136" s="35">
        <f t="shared" si="28"/>
        <v>0.7837606837606838</v>
      </c>
      <c r="AG136" s="35">
        <f>IF(AG135&gt;=50,IF(AG135&lt;=200,$C$103*(AG135-50)+1,$C$105*(AG135-200)+0.8),1)</f>
        <v>0.7794871794871795</v>
      </c>
      <c r="AH136" s="35">
        <f t="shared" si="28"/>
        <v>0.7752136752136752</v>
      </c>
      <c r="AI136" s="35">
        <f>IF(AI135&gt;=50,IF(AI135&lt;=200,$C$103*(AI135-50)+1,$C$105*(AI135-200)+0.8),1)</f>
        <v>0.770940170940171</v>
      </c>
      <c r="AJ136" s="35">
        <f t="shared" si="28"/>
        <v>0.7666666666666667</v>
      </c>
      <c r="AK136" s="35">
        <f>IF(AK135&gt;=50,IF(AK135&lt;=200,$C$103*(AK135-50)+1,$C$105*(AK135-200)+0.8),1)</f>
        <v>0.7623931623931625</v>
      </c>
    </row>
    <row r="137" spans="1:37" ht="17.25">
      <c r="A137" s="9" t="s">
        <v>60</v>
      </c>
      <c r="B137" s="9">
        <v>250</v>
      </c>
      <c r="C137" s="12">
        <f aca="true" t="shared" si="29" ref="C137:AK137">ROUNDUP(C131*100^2/$B137,0)</f>
        <v>87</v>
      </c>
      <c r="D137" s="12">
        <f>ROUNDUP(D131*100^2/$B137,0)</f>
        <v>87</v>
      </c>
      <c r="E137" s="12">
        <f t="shared" si="29"/>
        <v>87</v>
      </c>
      <c r="F137" s="12">
        <f>ROUNDUP(F131*100^2/$B137,0)</f>
        <v>86</v>
      </c>
      <c r="G137" s="12">
        <f t="shared" si="29"/>
        <v>85</v>
      </c>
      <c r="H137" s="12">
        <f>ROUNDUP(H131*100^2/$B137,0)</f>
        <v>85</v>
      </c>
      <c r="I137" s="12">
        <f t="shared" si="29"/>
        <v>84</v>
      </c>
      <c r="J137" s="12">
        <f>ROUNDUP(J131*100^2/$B137,0)</f>
        <v>83</v>
      </c>
      <c r="K137" s="12">
        <f t="shared" si="29"/>
        <v>82</v>
      </c>
      <c r="L137" s="12">
        <f>ROUNDUP(L131*100^2/$B137,0)</f>
        <v>82</v>
      </c>
      <c r="M137" s="12">
        <f t="shared" si="29"/>
        <v>81</v>
      </c>
      <c r="N137" s="12">
        <f>ROUNDUP(N131*100^2/$B137,0)</f>
        <v>80</v>
      </c>
      <c r="O137" s="12">
        <f t="shared" si="29"/>
        <v>79</v>
      </c>
      <c r="P137" s="12">
        <f>ROUNDUP(P131*100^2/$B137,0)</f>
        <v>79</v>
      </c>
      <c r="Q137" s="12">
        <f t="shared" si="29"/>
        <v>78</v>
      </c>
      <c r="R137" s="12">
        <f>ROUNDUP(R131*100^2/$B137,0)</f>
        <v>77</v>
      </c>
      <c r="S137" s="12">
        <f t="shared" si="29"/>
        <v>77</v>
      </c>
      <c r="T137" s="12">
        <f>ROUNDUP(T131*100^2/$B137,0)</f>
        <v>76</v>
      </c>
      <c r="U137" s="12">
        <f t="shared" si="29"/>
        <v>75</v>
      </c>
      <c r="V137" s="12">
        <f>ROUNDUP(V131*100^2/$B137,0)</f>
        <v>74</v>
      </c>
      <c r="W137" s="12">
        <f t="shared" si="29"/>
        <v>74</v>
      </c>
      <c r="X137" s="12">
        <f>ROUNDUP(X131*100^2/$B137,0)</f>
        <v>73</v>
      </c>
      <c r="Y137" s="12">
        <f t="shared" si="29"/>
        <v>72</v>
      </c>
      <c r="Z137" s="12">
        <f>ROUNDUP(Z131*100^2/$B137,0)</f>
        <v>71</v>
      </c>
      <c r="AA137" s="12">
        <f t="shared" si="29"/>
        <v>71</v>
      </c>
      <c r="AB137" s="12">
        <f>ROUNDUP(AB131*100^2/$B137,0)</f>
        <v>70</v>
      </c>
      <c r="AC137" s="12">
        <f t="shared" si="29"/>
        <v>69</v>
      </c>
      <c r="AD137" s="12">
        <f>ROUNDUP(AD131*100^2/$B137,0)</f>
        <v>69</v>
      </c>
      <c r="AE137" s="12">
        <f t="shared" si="29"/>
        <v>69</v>
      </c>
      <c r="AF137" s="12">
        <f>ROUNDUP(AF131*100^2/$B137,0)</f>
        <v>68</v>
      </c>
      <c r="AG137" s="12">
        <f t="shared" si="29"/>
        <v>68</v>
      </c>
      <c r="AH137" s="12">
        <f>ROUNDUP(AH131*100^2/$B137,0)</f>
        <v>68</v>
      </c>
      <c r="AI137" s="12">
        <f t="shared" si="29"/>
        <v>67</v>
      </c>
      <c r="AJ137" s="12">
        <f>ROUNDUP(AJ131*100^2/$B137,0)</f>
        <v>67</v>
      </c>
      <c r="AK137" s="12">
        <f t="shared" si="29"/>
        <v>66</v>
      </c>
    </row>
    <row r="138" spans="1:37" ht="15">
      <c r="A138" s="9">
        <v>8900</v>
      </c>
      <c r="B138" s="9">
        <v>300</v>
      </c>
      <c r="C138" s="12">
        <f aca="true" t="shared" si="30" ref="C138:AK138">ROUNDUP(C131*100^2/$B138,0)</f>
        <v>73</v>
      </c>
      <c r="D138" s="12">
        <f>ROUNDUP(D131*100^2/$B138,0)</f>
        <v>73</v>
      </c>
      <c r="E138" s="12">
        <f t="shared" si="30"/>
        <v>72</v>
      </c>
      <c r="F138" s="12">
        <f>ROUNDUP(F131*100^2/$B138,0)</f>
        <v>72</v>
      </c>
      <c r="G138" s="12">
        <f t="shared" si="30"/>
        <v>71</v>
      </c>
      <c r="H138" s="12">
        <f>ROUNDUP(H131*100^2/$B138,0)</f>
        <v>71</v>
      </c>
      <c r="I138" s="12">
        <f t="shared" si="30"/>
        <v>70</v>
      </c>
      <c r="J138" s="12">
        <f>ROUNDUP(J131*100^2/$B138,0)</f>
        <v>69</v>
      </c>
      <c r="K138" s="12">
        <f t="shared" si="30"/>
        <v>69</v>
      </c>
      <c r="L138" s="12">
        <f>ROUNDUP(L131*100^2/$B138,0)</f>
        <v>68</v>
      </c>
      <c r="M138" s="12">
        <f t="shared" si="30"/>
        <v>68</v>
      </c>
      <c r="N138" s="12">
        <f>ROUNDUP(N131*100^2/$B138,0)</f>
        <v>67</v>
      </c>
      <c r="O138" s="12">
        <f t="shared" si="30"/>
        <v>66</v>
      </c>
      <c r="P138" s="12">
        <f>ROUNDUP(P131*100^2/$B138,0)</f>
        <v>66</v>
      </c>
      <c r="Q138" s="12">
        <f t="shared" si="30"/>
        <v>65</v>
      </c>
      <c r="R138" s="12">
        <f>ROUNDUP(R131*100^2/$B138,0)</f>
        <v>64</v>
      </c>
      <c r="S138" s="12">
        <f t="shared" si="30"/>
        <v>64</v>
      </c>
      <c r="T138" s="12">
        <f>ROUNDUP(T131*100^2/$B138,0)</f>
        <v>63</v>
      </c>
      <c r="U138" s="12">
        <f t="shared" si="30"/>
        <v>63</v>
      </c>
      <c r="V138" s="12">
        <f>ROUNDUP(V131*100^2/$B138,0)</f>
        <v>62</v>
      </c>
      <c r="W138" s="12">
        <f t="shared" si="30"/>
        <v>61</v>
      </c>
      <c r="X138" s="12">
        <f>ROUNDUP(X131*100^2/$B138,0)</f>
        <v>61</v>
      </c>
      <c r="Y138" s="12">
        <f t="shared" si="30"/>
        <v>60</v>
      </c>
      <c r="Z138" s="12">
        <f>ROUNDUP(Z131*100^2/$B138,0)</f>
        <v>60</v>
      </c>
      <c r="AA138" s="12">
        <f t="shared" si="30"/>
        <v>59</v>
      </c>
      <c r="AB138" s="12">
        <f>ROUNDUP(AB131*100^2/$B138,0)</f>
        <v>58</v>
      </c>
      <c r="AC138" s="12">
        <f t="shared" si="30"/>
        <v>58</v>
      </c>
      <c r="AD138" s="12">
        <f>ROUNDUP(AD131*100^2/$B138,0)</f>
        <v>58</v>
      </c>
      <c r="AE138" s="12">
        <f t="shared" si="30"/>
        <v>57</v>
      </c>
      <c r="AF138" s="12">
        <f>ROUNDUP(AF131*100^2/$B138,0)</f>
        <v>57</v>
      </c>
      <c r="AG138" s="12">
        <f t="shared" si="30"/>
        <v>57</v>
      </c>
      <c r="AH138" s="12">
        <f>ROUNDUP(AH131*100^2/$B138,0)</f>
        <v>56</v>
      </c>
      <c r="AI138" s="12">
        <f t="shared" si="30"/>
        <v>56</v>
      </c>
      <c r="AJ138" s="12">
        <f>ROUNDUP(AJ131*100^2/$B138,0)</f>
        <v>56</v>
      </c>
      <c r="AK138" s="12">
        <f t="shared" si="30"/>
        <v>55</v>
      </c>
    </row>
    <row r="139" spans="1:37" ht="15">
      <c r="A139" s="9" t="s">
        <v>61</v>
      </c>
      <c r="B139" s="9">
        <v>350</v>
      </c>
      <c r="C139" s="12">
        <f aca="true" t="shared" si="31" ref="C139:AK139">ROUNDUP(C131*100^2/$B139,0)</f>
        <v>62</v>
      </c>
      <c r="D139" s="12">
        <f>ROUNDUP(D131*100^2/$B139,0)</f>
        <v>62</v>
      </c>
      <c r="E139" s="12">
        <f t="shared" si="31"/>
        <v>62</v>
      </c>
      <c r="F139" s="12">
        <f>ROUNDUP(F131*100^2/$B139,0)</f>
        <v>62</v>
      </c>
      <c r="G139" s="12">
        <f t="shared" si="31"/>
        <v>61</v>
      </c>
      <c r="H139" s="12">
        <f>ROUNDUP(H131*100^2/$B139,0)</f>
        <v>61</v>
      </c>
      <c r="I139" s="12">
        <f t="shared" si="31"/>
        <v>60</v>
      </c>
      <c r="J139" s="12">
        <f>ROUNDUP(J131*100^2/$B139,0)</f>
        <v>60</v>
      </c>
      <c r="K139" s="12">
        <f t="shared" si="31"/>
        <v>59</v>
      </c>
      <c r="L139" s="12">
        <f>ROUNDUP(L131*100^2/$B139,0)</f>
        <v>58</v>
      </c>
      <c r="M139" s="12">
        <f t="shared" si="31"/>
        <v>58</v>
      </c>
      <c r="N139" s="12">
        <f>ROUNDUP(N131*100^2/$B139,0)</f>
        <v>57</v>
      </c>
      <c r="O139" s="12">
        <f t="shared" si="31"/>
        <v>57</v>
      </c>
      <c r="P139" s="12">
        <f>ROUNDUP(P131*100^2/$B139,0)</f>
        <v>56</v>
      </c>
      <c r="Q139" s="12">
        <f t="shared" si="31"/>
        <v>56</v>
      </c>
      <c r="R139" s="12">
        <f>ROUNDUP(R131*100^2/$B139,0)</f>
        <v>55</v>
      </c>
      <c r="S139" s="12">
        <f t="shared" si="31"/>
        <v>55</v>
      </c>
      <c r="T139" s="12">
        <f>ROUNDUP(T131*100^2/$B139,0)</f>
        <v>54</v>
      </c>
      <c r="U139" s="12">
        <f t="shared" si="31"/>
        <v>54</v>
      </c>
      <c r="V139" s="12">
        <f>ROUNDUP(V131*100^2/$B139,0)</f>
        <v>53</v>
      </c>
      <c r="W139" s="12">
        <f t="shared" si="31"/>
        <v>53</v>
      </c>
      <c r="X139" s="12">
        <f>ROUNDUP(X131*100^2/$B139,0)</f>
        <v>52</v>
      </c>
      <c r="Y139" s="12">
        <f t="shared" si="31"/>
        <v>52</v>
      </c>
      <c r="Z139" s="12">
        <f>ROUNDUP(Z131*100^2/$B139,0)</f>
        <v>51</v>
      </c>
      <c r="AA139" s="12">
        <f t="shared" si="31"/>
        <v>51</v>
      </c>
      <c r="AB139" s="12">
        <f>ROUNDUP(AB131*100^2/$B139,0)</f>
        <v>50</v>
      </c>
      <c r="AC139" s="12">
        <f t="shared" si="31"/>
        <v>50</v>
      </c>
      <c r="AD139" s="12">
        <f>ROUNDUP(AD131*100^2/$B139,0)</f>
        <v>49</v>
      </c>
      <c r="AE139" s="12">
        <f t="shared" si="31"/>
        <v>49</v>
      </c>
      <c r="AF139" s="12">
        <f>ROUNDUP(AF131*100^2/$B139,0)</f>
        <v>49</v>
      </c>
      <c r="AG139" s="12">
        <f t="shared" si="31"/>
        <v>49</v>
      </c>
      <c r="AH139" s="12">
        <f>ROUNDUP(AH131*100^2/$B139,0)</f>
        <v>48</v>
      </c>
      <c r="AI139" s="12">
        <f t="shared" si="31"/>
        <v>48</v>
      </c>
      <c r="AJ139" s="12">
        <f>ROUNDUP(AJ131*100^2/$B139,0)</f>
        <v>48</v>
      </c>
      <c r="AK139" s="12">
        <f t="shared" si="31"/>
        <v>48</v>
      </c>
    </row>
    <row r="140" spans="1:37" ht="15">
      <c r="A140" s="9">
        <v>78</v>
      </c>
      <c r="B140" s="13">
        <v>400</v>
      </c>
      <c r="C140" s="14">
        <f aca="true" t="shared" si="32" ref="C140:AK140">ROUNDUP(C131*100^2/$B140,0)</f>
        <v>55</v>
      </c>
      <c r="D140" s="14">
        <f>ROUNDUP(D131*100^2/$B140,0)</f>
        <v>55</v>
      </c>
      <c r="E140" s="14">
        <f t="shared" si="32"/>
        <v>54</v>
      </c>
      <c r="F140" s="14">
        <f>ROUNDUP(F131*100^2/$B140,0)</f>
        <v>54</v>
      </c>
      <c r="G140" s="14">
        <f t="shared" si="32"/>
        <v>54</v>
      </c>
      <c r="H140" s="14">
        <f>ROUNDUP(H131*100^2/$B140,0)</f>
        <v>53</v>
      </c>
      <c r="I140" s="14">
        <f t="shared" si="32"/>
        <v>53</v>
      </c>
      <c r="J140" s="14">
        <f>ROUNDUP(J131*100^2/$B140,0)</f>
        <v>52</v>
      </c>
      <c r="K140" s="14">
        <f t="shared" si="32"/>
        <v>52</v>
      </c>
      <c r="L140" s="14">
        <f>ROUNDUP(L131*100^2/$B140,0)</f>
        <v>51</v>
      </c>
      <c r="M140" s="14">
        <f t="shared" si="32"/>
        <v>51</v>
      </c>
      <c r="N140" s="14">
        <f>ROUNDUP(N131*100^2/$B140,0)</f>
        <v>50</v>
      </c>
      <c r="O140" s="14">
        <f t="shared" si="32"/>
        <v>50</v>
      </c>
      <c r="P140" s="14">
        <f>ROUNDUP(P131*100^2/$B140,0)</f>
        <v>49</v>
      </c>
      <c r="Q140" s="14">
        <f t="shared" si="32"/>
        <v>49</v>
      </c>
      <c r="R140" s="14">
        <f>ROUNDUP(R131*100^2/$B140,0)</f>
        <v>48</v>
      </c>
      <c r="S140" s="14">
        <f t="shared" si="32"/>
        <v>48</v>
      </c>
      <c r="T140" s="14">
        <f>ROUNDUP(T131*100^2/$B140,0)</f>
        <v>48</v>
      </c>
      <c r="U140" s="14">
        <f t="shared" si="32"/>
        <v>47</v>
      </c>
      <c r="V140" s="14">
        <f>ROUNDUP(V131*100^2/$B140,0)</f>
        <v>47</v>
      </c>
      <c r="W140" s="14">
        <f t="shared" si="32"/>
        <v>46</v>
      </c>
      <c r="X140" s="14">
        <f>ROUNDUP(X131*100^2/$B140,0)</f>
        <v>46</v>
      </c>
      <c r="Y140" s="14">
        <f t="shared" si="32"/>
        <v>45</v>
      </c>
      <c r="Z140" s="14">
        <f>ROUNDUP(Z131*100^2/$B140,0)</f>
        <v>45</v>
      </c>
      <c r="AA140" s="14">
        <f t="shared" si="32"/>
        <v>44</v>
      </c>
      <c r="AB140" s="14">
        <f>ROUNDUP(AB131*100^2/$B140,0)</f>
        <v>44</v>
      </c>
      <c r="AC140" s="14">
        <f t="shared" si="32"/>
        <v>44</v>
      </c>
      <c r="AD140" s="14">
        <f>ROUNDUP(AD131*100^2/$B140,0)</f>
        <v>43</v>
      </c>
      <c r="AE140" s="14">
        <f t="shared" si="32"/>
        <v>43</v>
      </c>
      <c r="AF140" s="14">
        <f>ROUNDUP(AF131*100^2/$B140,0)</f>
        <v>43</v>
      </c>
      <c r="AG140" s="14">
        <f t="shared" si="32"/>
        <v>43</v>
      </c>
      <c r="AH140" s="14">
        <f>ROUNDUP(AH131*100^2/$B140,0)</f>
        <v>42</v>
      </c>
      <c r="AI140" s="14">
        <f t="shared" si="32"/>
        <v>42</v>
      </c>
      <c r="AJ140" s="14">
        <f>ROUNDUP(AJ131*100^2/$B140,0)</f>
        <v>42</v>
      </c>
      <c r="AK140" s="14">
        <f t="shared" si="32"/>
        <v>42</v>
      </c>
    </row>
    <row r="141" spans="1:37" ht="15">
      <c r="A141" s="40" t="s">
        <v>53</v>
      </c>
      <c r="B141" s="68" t="s">
        <v>42</v>
      </c>
      <c r="C141" s="67">
        <f aca="true" t="shared" si="33" ref="C141:AK141">0.9*2.78*10^-5*$A148^1.25*C146</f>
        <v>4.57278806430645</v>
      </c>
      <c r="D141" s="67">
        <f>0.9*2.78*10^-5*$A148^1.25*D146</f>
        <v>4.57278806430645</v>
      </c>
      <c r="E141" s="67">
        <f t="shared" si="33"/>
        <v>4.57278806430645</v>
      </c>
      <c r="F141" s="67">
        <f>0.9*2.78*10^-5*$A148^1.25*F146</f>
        <v>4.57278806430645</v>
      </c>
      <c r="G141" s="67">
        <f t="shared" si="33"/>
        <v>4.57278806430645</v>
      </c>
      <c r="H141" s="67">
        <f>0.9*2.78*10^-5*$A148^1.25*H146</f>
        <v>4.558271276800715</v>
      </c>
      <c r="I141" s="67">
        <f t="shared" si="33"/>
        <v>4.529237701789246</v>
      </c>
      <c r="J141" s="67">
        <f>0.9*2.78*10^-5*$A148^1.25*J146</f>
        <v>4.500204126777777</v>
      </c>
      <c r="K141" s="67">
        <f t="shared" si="33"/>
        <v>4.471170551766306</v>
      </c>
      <c r="L141" s="67">
        <f>0.9*2.78*10^-5*$A148^1.25*L146</f>
        <v>4.4421369767548375</v>
      </c>
      <c r="M141" s="67">
        <f t="shared" si="33"/>
        <v>4.413103401743368</v>
      </c>
      <c r="N141" s="67">
        <f>0.9*2.78*10^-5*$A148^1.25*N146</f>
        <v>4.384069826731898</v>
      </c>
      <c r="O141" s="67">
        <f t="shared" si="33"/>
        <v>4.355036251720429</v>
      </c>
      <c r="P141" s="67">
        <f>0.9*2.78*10^-5*$A148^1.25*P146</f>
        <v>4.326002676708959</v>
      </c>
      <c r="Q141" s="67">
        <f t="shared" si="33"/>
        <v>4.296969101697489</v>
      </c>
      <c r="R141" s="67">
        <f>0.9*2.78*10^-5*$A148^1.25*R146</f>
        <v>4.26793552668602</v>
      </c>
      <c r="S141" s="67">
        <f t="shared" si="33"/>
        <v>4.238901951674551</v>
      </c>
      <c r="T141" s="67">
        <f>0.9*2.78*10^-5*$A148^1.25*T146</f>
        <v>4.209868376663081</v>
      </c>
      <c r="U141" s="67">
        <f t="shared" si="33"/>
        <v>4.180834801651612</v>
      </c>
      <c r="V141" s="67">
        <f>0.9*2.78*10^-5*$A148^1.25*V146</f>
        <v>4.151801226640142</v>
      </c>
      <c r="W141" s="67">
        <f t="shared" si="33"/>
        <v>4.122767651628672</v>
      </c>
      <c r="X141" s="67">
        <f>0.9*2.78*10^-5*$A148^1.25*X146</f>
        <v>4.093734076617203</v>
      </c>
      <c r="Y141" s="67">
        <f t="shared" si="33"/>
        <v>4.064700501605733</v>
      </c>
      <c r="Z141" s="67">
        <f>0.9*2.78*10^-5*$A148^1.25*Z146</f>
        <v>4.0356669265942635</v>
      </c>
      <c r="AA141" s="67">
        <f t="shared" si="33"/>
        <v>4.006633351582794</v>
      </c>
      <c r="AB141" s="67">
        <f>0.9*2.78*10^-5*$A148^1.25*AB146</f>
        <v>3.9775997765713247</v>
      </c>
      <c r="AC141" s="67">
        <f t="shared" si="33"/>
        <v>3.9485662015598555</v>
      </c>
      <c r="AD141" s="67">
        <f>0.9*2.78*10^-5*$A148^1.25*AD146</f>
        <v>3.919532626548386</v>
      </c>
      <c r="AE141" s="67">
        <f t="shared" si="33"/>
        <v>3.8904990515369167</v>
      </c>
      <c r="AF141" s="67">
        <f>0.9*2.78*10^-5*$A148^1.25*AF146</f>
        <v>3.861465476525447</v>
      </c>
      <c r="AG141" s="67">
        <f t="shared" si="33"/>
        <v>3.8324319015139774</v>
      </c>
      <c r="AH141" s="67">
        <f>0.9*2.78*10^-5*$A148^1.25*AH146</f>
        <v>3.8033983265025078</v>
      </c>
      <c r="AI141" s="67">
        <f t="shared" si="33"/>
        <v>3.774364751491038</v>
      </c>
      <c r="AJ141" s="67">
        <f>0.9*2.78*10^-5*$A148^1.25*AJ146</f>
        <v>3.7453311764795685</v>
      </c>
      <c r="AK141" s="67">
        <f t="shared" si="33"/>
        <v>3.716297601468099</v>
      </c>
    </row>
    <row r="142" spans="2:37" ht="15">
      <c r="B142" s="68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</row>
    <row r="143" spans="2:37" ht="15" customHeight="1" hidden="1">
      <c r="B143" s="71" t="s">
        <v>55</v>
      </c>
      <c r="C143" s="9">
        <v>4.71</v>
      </c>
      <c r="D143" s="9">
        <v>4.71</v>
      </c>
      <c r="E143" s="9">
        <v>4.71</v>
      </c>
      <c r="F143" s="9">
        <v>4.71</v>
      </c>
      <c r="G143" s="9">
        <v>4.71</v>
      </c>
      <c r="H143" s="9">
        <v>4.71</v>
      </c>
      <c r="I143" s="9">
        <v>4.63</v>
      </c>
      <c r="J143" s="9">
        <v>4.71</v>
      </c>
      <c r="K143" s="9">
        <v>4.57</v>
      </c>
      <c r="L143" s="9">
        <v>4.71</v>
      </c>
      <c r="M143" s="9">
        <v>4.51</v>
      </c>
      <c r="N143" s="9">
        <v>4.71</v>
      </c>
      <c r="O143" s="9">
        <v>4.46</v>
      </c>
      <c r="P143" s="9">
        <v>4.71</v>
      </c>
      <c r="Q143" s="9">
        <v>4.4</v>
      </c>
      <c r="R143" s="9">
        <v>4.71</v>
      </c>
      <c r="S143" s="9">
        <v>4.35</v>
      </c>
      <c r="T143" s="9">
        <v>4.71</v>
      </c>
      <c r="U143" s="9">
        <v>4.29</v>
      </c>
      <c r="V143" s="9">
        <v>4.71</v>
      </c>
      <c r="W143" s="9">
        <v>4.24</v>
      </c>
      <c r="X143" s="9">
        <v>4.71</v>
      </c>
      <c r="Y143" s="9">
        <v>4.18</v>
      </c>
      <c r="Z143" s="9">
        <v>4.18</v>
      </c>
      <c r="AA143" s="9">
        <v>4.13</v>
      </c>
      <c r="AB143" s="9">
        <v>4.18</v>
      </c>
      <c r="AC143" s="9">
        <v>4.08</v>
      </c>
      <c r="AD143" s="9">
        <v>4.08</v>
      </c>
      <c r="AE143" s="9">
        <v>4.03</v>
      </c>
      <c r="AF143" s="9">
        <v>4.08</v>
      </c>
      <c r="AG143" s="9">
        <v>3.98</v>
      </c>
      <c r="AH143" s="9">
        <v>4.08</v>
      </c>
      <c r="AI143" s="9">
        <v>3.93</v>
      </c>
      <c r="AJ143" s="9">
        <v>4.08</v>
      </c>
      <c r="AK143" s="9">
        <v>3.89</v>
      </c>
    </row>
    <row r="144" spans="1:37" ht="15" customHeight="1" hidden="1">
      <c r="A144" s="9"/>
      <c r="B144" s="71"/>
      <c r="C144" s="35">
        <f aca="true" t="shared" si="34" ref="C144:H144">C141-C143</f>
        <v>-0.13721193569354995</v>
      </c>
      <c r="D144" s="35">
        <f t="shared" si="34"/>
        <v>-0.13721193569354995</v>
      </c>
      <c r="E144" s="35">
        <f t="shared" si="34"/>
        <v>-0.13721193569354995</v>
      </c>
      <c r="F144" s="35">
        <f t="shared" si="34"/>
        <v>-0.13721193569354995</v>
      </c>
      <c r="G144" s="35">
        <f t="shared" si="34"/>
        <v>-0.13721193569354995</v>
      </c>
      <c r="H144" s="35">
        <f t="shared" si="34"/>
        <v>-0.15172872319928477</v>
      </c>
      <c r="I144" s="35">
        <f aca="true" t="shared" si="35" ref="I144:AK144">I141-I143</f>
        <v>-0.10076229821075433</v>
      </c>
      <c r="J144" s="35">
        <f>J141-J143</f>
        <v>-0.20979587322222315</v>
      </c>
      <c r="K144" s="35">
        <f t="shared" si="35"/>
        <v>-0.098829448233694</v>
      </c>
      <c r="L144" s="35">
        <f>L141-L143</f>
        <v>-0.2678630232451624</v>
      </c>
      <c r="M144" s="35">
        <f t="shared" si="35"/>
        <v>-0.09689659825663188</v>
      </c>
      <c r="N144" s="35">
        <f>N141-N143</f>
        <v>-0.3259301732681017</v>
      </c>
      <c r="O144" s="35">
        <f t="shared" si="35"/>
        <v>-0.10496374827957133</v>
      </c>
      <c r="P144" s="35">
        <f>P141-P143</f>
        <v>-0.38399732329104097</v>
      </c>
      <c r="Q144" s="35">
        <f t="shared" si="35"/>
        <v>-0.103030898302511</v>
      </c>
      <c r="R144" s="35">
        <f>R141-R143</f>
        <v>-0.44206447331398024</v>
      </c>
      <c r="S144" s="35">
        <f t="shared" si="35"/>
        <v>-0.11109804832544867</v>
      </c>
      <c r="T144" s="35">
        <f>T141-T143</f>
        <v>-0.5001316233369186</v>
      </c>
      <c r="U144" s="35">
        <f t="shared" si="35"/>
        <v>-0.10916519834838834</v>
      </c>
      <c r="V144" s="35">
        <f>V141-V143</f>
        <v>-0.5581987733598579</v>
      </c>
      <c r="W144" s="35">
        <f t="shared" si="35"/>
        <v>-0.11723234837132779</v>
      </c>
      <c r="X144" s="35">
        <f>X141-X143</f>
        <v>-0.6162659233827972</v>
      </c>
      <c r="Y144" s="35">
        <f t="shared" si="35"/>
        <v>-0.11529949839426656</v>
      </c>
      <c r="Z144" s="35">
        <f>Z141-Z143</f>
        <v>-0.1443330734057362</v>
      </c>
      <c r="AA144" s="35">
        <f t="shared" si="35"/>
        <v>-0.12336664841720602</v>
      </c>
      <c r="AB144" s="35">
        <f>AB141-AB143</f>
        <v>-0.20240022342867503</v>
      </c>
      <c r="AC144" s="35">
        <f t="shared" si="35"/>
        <v>-0.13143379844014458</v>
      </c>
      <c r="AD144" s="35">
        <f>AD141-AD143</f>
        <v>-0.16046737345161421</v>
      </c>
      <c r="AE144" s="35">
        <f t="shared" si="35"/>
        <v>-0.13950094846308358</v>
      </c>
      <c r="AF144" s="35">
        <f>AF141-AF143</f>
        <v>-0.21853452347455304</v>
      </c>
      <c r="AG144" s="35">
        <f t="shared" si="35"/>
        <v>-0.1475680984860226</v>
      </c>
      <c r="AH144" s="35">
        <f>AH141-AH143</f>
        <v>-0.2766016734974923</v>
      </c>
      <c r="AI144" s="35">
        <f t="shared" si="35"/>
        <v>-0.15563524850896204</v>
      </c>
      <c r="AJ144" s="35">
        <f>AJ141-AJ143</f>
        <v>-0.3346688235204316</v>
      </c>
      <c r="AK144" s="35">
        <f t="shared" si="35"/>
        <v>-0.17370239853190128</v>
      </c>
    </row>
    <row r="145" spans="2:37" ht="15" customHeight="1" hidden="1">
      <c r="B145" s="11" t="s">
        <v>31</v>
      </c>
      <c r="C145" s="34">
        <f>C$110*1000/$A150</f>
        <v>28.571428571428573</v>
      </c>
      <c r="D145" s="34">
        <f>D$110*1000/$A150</f>
        <v>33.333333333333336</v>
      </c>
      <c r="E145" s="34">
        <f aca="true" t="shared" si="36" ref="E145:AK145">E$110*1000/$A150</f>
        <v>38.095238095238095</v>
      </c>
      <c r="F145" s="34">
        <f>F$110*1000/$A150</f>
        <v>42.857142857142854</v>
      </c>
      <c r="G145" s="34">
        <f t="shared" si="36"/>
        <v>47.61904761904762</v>
      </c>
      <c r="H145" s="34">
        <f>H$110*1000/$A150</f>
        <v>52.38095238095238</v>
      </c>
      <c r="I145" s="34">
        <f t="shared" si="36"/>
        <v>57.142857142857146</v>
      </c>
      <c r="J145" s="34">
        <f>J$110*1000/$A150</f>
        <v>61.904761904761905</v>
      </c>
      <c r="K145" s="34">
        <f t="shared" si="36"/>
        <v>66.66666666666667</v>
      </c>
      <c r="L145" s="34">
        <f>L$110*1000/$A150</f>
        <v>71.42857142857143</v>
      </c>
      <c r="M145" s="34">
        <f t="shared" si="36"/>
        <v>76.19047619047619</v>
      </c>
      <c r="N145" s="34">
        <f>N$110*1000/$A150</f>
        <v>80.95238095238095</v>
      </c>
      <c r="O145" s="34">
        <f t="shared" si="36"/>
        <v>85.71428571428571</v>
      </c>
      <c r="P145" s="34">
        <f>P$110*1000/$A150</f>
        <v>90.47619047619048</v>
      </c>
      <c r="Q145" s="34">
        <f t="shared" si="36"/>
        <v>95.23809523809524</v>
      </c>
      <c r="R145" s="34">
        <f>R$110*1000/$A150</f>
        <v>100</v>
      </c>
      <c r="S145" s="34">
        <f t="shared" si="36"/>
        <v>104.76190476190476</v>
      </c>
      <c r="T145" s="34">
        <f>T$110*1000/$A150</f>
        <v>109.52380952380952</v>
      </c>
      <c r="U145" s="34">
        <f t="shared" si="36"/>
        <v>114.28571428571429</v>
      </c>
      <c r="V145" s="34">
        <f>V$110*1000/$A150</f>
        <v>119.04761904761905</v>
      </c>
      <c r="W145" s="34">
        <f t="shared" si="36"/>
        <v>123.80952380952381</v>
      </c>
      <c r="X145" s="34">
        <f>X$110*1000/$A150</f>
        <v>128.57142857142858</v>
      </c>
      <c r="Y145" s="34">
        <f t="shared" si="36"/>
        <v>133.33333333333334</v>
      </c>
      <c r="Z145" s="34">
        <f>Z$110*1000/$A150</f>
        <v>138.0952380952381</v>
      </c>
      <c r="AA145" s="34">
        <f t="shared" si="36"/>
        <v>142.85714285714286</v>
      </c>
      <c r="AB145" s="34">
        <f>AB$110*1000/$A150</f>
        <v>147.61904761904762</v>
      </c>
      <c r="AC145" s="34">
        <f t="shared" si="36"/>
        <v>152.38095238095238</v>
      </c>
      <c r="AD145" s="34">
        <f>AD$110*1000/$A150</f>
        <v>157.14285714285714</v>
      </c>
      <c r="AE145" s="34">
        <f t="shared" si="36"/>
        <v>161.9047619047619</v>
      </c>
      <c r="AF145" s="34">
        <f>AF$110*1000/$A150</f>
        <v>166.66666666666666</v>
      </c>
      <c r="AG145" s="34">
        <f t="shared" si="36"/>
        <v>171.42857142857142</v>
      </c>
      <c r="AH145" s="34">
        <f>AH$110*1000/$A150</f>
        <v>176.1904761904762</v>
      </c>
      <c r="AI145" s="34">
        <f t="shared" si="36"/>
        <v>180.95238095238096</v>
      </c>
      <c r="AJ145" s="34">
        <f>AJ$110*1000/$A150</f>
        <v>185.71428571428572</v>
      </c>
      <c r="AK145" s="34">
        <f t="shared" si="36"/>
        <v>190.47619047619048</v>
      </c>
    </row>
    <row r="146" spans="2:37" ht="18" customHeight="1" hidden="1">
      <c r="B146" s="11" t="s">
        <v>30</v>
      </c>
      <c r="C146" s="35">
        <f>IF(C145&gt;=50,IF(C145&lt;=200,$C$103*(C145-50)+1,$C$105*(C145-200)+0.8),1)</f>
        <v>1</v>
      </c>
      <c r="D146" s="35">
        <f>IF(D145&gt;=50,IF(D145&lt;=200,$C$103*(D145-50)+1,$C$105*(D145-200)+0.8),1)</f>
        <v>1</v>
      </c>
      <c r="E146" s="35">
        <f>IF(E145&gt;=50,IF(E145&lt;=200,$C$103*(E145-50)+1,$C$105*(E145-200)+0.8),1)</f>
        <v>1</v>
      </c>
      <c r="F146" s="35">
        <f>IF(F145&gt;=50,IF(F145&lt;=200,$C$103*(F145-50)+1,$C$105*(F145-200)+0.8),1)</f>
        <v>1</v>
      </c>
      <c r="G146" s="35">
        <f>IF(G145&gt;=50,IF(G145&lt;=200,$C$103*(G145-50)+1,$C$105*(G145-200)+0.8),1)</f>
        <v>1</v>
      </c>
      <c r="H146" s="35">
        <f>IF(H145&gt;=50,IF(H145&lt;=200,$C$103*(H145-50)+1,$C$105*(H145-200)+0.8),1)</f>
        <v>0.9968253968253968</v>
      </c>
      <c r="I146" s="35">
        <f>IF(I145&gt;=50,IF(I145&lt;=200,$C$103*(I145-50)+1,$C$105*(I145-200)+0.8),1)</f>
        <v>0.9904761904761905</v>
      </c>
      <c r="J146" s="35">
        <f>IF(J145&gt;=50,IF(J145&lt;=200,$C$103*(J145-50)+1,$C$105*(J145-200)+0.8),1)</f>
        <v>0.9841269841269842</v>
      </c>
      <c r="K146" s="35">
        <f>IF(K145&gt;=50,IF(K145&lt;=200,$C$103*(K145-50)+1,$C$105*(K145-200)+0.8),1)</f>
        <v>0.9777777777777777</v>
      </c>
      <c r="L146" s="35">
        <f>IF(L145&gt;=50,IF(L145&lt;=200,$C$103*(L145-50)+1,$C$105*(L145-200)+0.8),1)</f>
        <v>0.9714285714285714</v>
      </c>
      <c r="M146" s="35">
        <f>IF(M145&gt;=50,IF(M145&lt;=200,$C$103*(M145-50)+1,$C$105*(M145-200)+0.8),1)</f>
        <v>0.9650793650793651</v>
      </c>
      <c r="N146" s="35">
        <f>IF(N145&gt;=50,IF(N145&lt;=200,$C$103*(N145-50)+1,$C$105*(N145-200)+0.8),1)</f>
        <v>0.9587301587301588</v>
      </c>
      <c r="O146" s="35">
        <f>IF(O145&gt;=50,IF(O145&lt;=200,$C$103*(O145-50)+1,$C$105*(O145-200)+0.8),1)</f>
        <v>0.9523809523809524</v>
      </c>
      <c r="P146" s="35">
        <f>IF(P145&gt;=50,IF(P145&lt;=200,$C$103*(P145-50)+1,$C$105*(P145-200)+0.8),1)</f>
        <v>0.946031746031746</v>
      </c>
      <c r="Q146" s="35">
        <f>IF(Q145&gt;=50,IF(Q145&lt;=200,$C$103*(Q145-50)+1,$C$105*(Q145-200)+0.8),1)</f>
        <v>0.9396825396825397</v>
      </c>
      <c r="R146" s="35">
        <f>IF(R145&gt;=50,IF(R145&lt;=200,$C$103*(R145-50)+1,$C$105*(R145-200)+0.8),1)</f>
        <v>0.9333333333333333</v>
      </c>
      <c r="S146" s="35">
        <f>IF(S145&gt;=50,IF(S145&lt;=200,$C$103*(S145-50)+1,$C$105*(S145-200)+0.8),1)</f>
        <v>0.926984126984127</v>
      </c>
      <c r="T146" s="35">
        <f>IF(T145&gt;=50,IF(T145&lt;=200,$C$103*(T145-50)+1,$C$105*(T145-200)+0.8),1)</f>
        <v>0.9206349206349207</v>
      </c>
      <c r="U146" s="35">
        <f>IF(U145&gt;=50,IF(U145&lt;=200,$C$103*(U145-50)+1,$C$105*(U145-200)+0.8),1)</f>
        <v>0.9142857142857143</v>
      </c>
      <c r="V146" s="35">
        <f>IF(V145&gt;=50,IF(V145&lt;=200,$C$103*(V145-50)+1,$C$105*(V145-200)+0.8),1)</f>
        <v>0.9079365079365079</v>
      </c>
      <c r="W146" s="35">
        <f>IF(W145&gt;=50,IF(W145&lt;=200,$C$103*(W145-50)+1,$C$105*(W145-200)+0.8),1)</f>
        <v>0.9015873015873016</v>
      </c>
      <c r="X146" s="35">
        <f>IF(X145&gt;=50,IF(X145&lt;=200,$C$103*(X145-50)+1,$C$105*(X145-200)+0.8),1)</f>
        <v>0.8952380952380953</v>
      </c>
      <c r="Y146" s="35">
        <f>IF(Y145&gt;=50,IF(Y145&lt;=200,$C$103*(Y145-50)+1,$C$105*(Y145-200)+0.8),1)</f>
        <v>0.8888888888888888</v>
      </c>
      <c r="Z146" s="35">
        <f>IF(Z145&gt;=50,IF(Z145&lt;=200,$C$103*(Z145-50)+1,$C$105*(Z145-200)+0.8),1)</f>
        <v>0.8825396825396825</v>
      </c>
      <c r="AA146" s="35">
        <f>IF(AA145&gt;=50,IF(AA145&lt;=200,$C$103*(AA145-50)+1,$C$105*(AA145-200)+0.8),1)</f>
        <v>0.8761904761904762</v>
      </c>
      <c r="AB146" s="35">
        <f>IF(AB145&gt;=50,IF(AB145&lt;=200,$C$103*(AB145-50)+1,$C$105*(AB145-200)+0.8),1)</f>
        <v>0.8698412698412699</v>
      </c>
      <c r="AC146" s="35">
        <f aca="true" t="shared" si="37" ref="AC146:AJ146">IF(AC145&gt;=50,IF(AC145&lt;=200,$C$103*(AC145-50)+1,$C$105*(AC145-200)+0.8),1)</f>
        <v>0.8634920634920635</v>
      </c>
      <c r="AD146" s="35">
        <f t="shared" si="37"/>
        <v>0.8571428571428572</v>
      </c>
      <c r="AE146" s="35">
        <f>IF(AE145&gt;=50,IF(AE145&lt;=200,$C$103*(AE145-50)+1,$C$105*(AE145-200)+0.8),1)</f>
        <v>0.8507936507936509</v>
      </c>
      <c r="AF146" s="35">
        <f t="shared" si="37"/>
        <v>0.8444444444444446</v>
      </c>
      <c r="AG146" s="35">
        <f>IF(AG145&gt;=50,IF(AG145&lt;=200,$C$103*(AG145-50)+1,$C$105*(AG145-200)+0.8),1)</f>
        <v>0.8380952380952381</v>
      </c>
      <c r="AH146" s="35">
        <f t="shared" si="37"/>
        <v>0.8317460317460318</v>
      </c>
      <c r="AI146" s="35">
        <f>IF(AI145&gt;=50,IF(AI145&lt;=200,$C$103*(AI145-50)+1,$C$105*(AI145-200)+0.8),1)</f>
        <v>0.8253968253968254</v>
      </c>
      <c r="AJ146" s="35">
        <f t="shared" si="37"/>
        <v>0.819047619047619</v>
      </c>
      <c r="AK146" s="35">
        <f>IF(AK145&gt;=50,IF(AK145&lt;=200,$C$103*(AK145-50)+1,$C$105*(AK145-200)+0.8),1)</f>
        <v>0.8126984126984127</v>
      </c>
    </row>
    <row r="147" spans="1:37" ht="17.25">
      <c r="A147" s="9" t="s">
        <v>60</v>
      </c>
      <c r="B147" s="9">
        <v>250</v>
      </c>
      <c r="C147" s="12">
        <f aca="true" t="shared" si="38" ref="C147:AK147">ROUNDUP(C141*100^2/$B147,0)</f>
        <v>183</v>
      </c>
      <c r="D147" s="12">
        <f>ROUNDUP(D141*100^2/$B147,0)</f>
        <v>183</v>
      </c>
      <c r="E147" s="12">
        <f t="shared" si="38"/>
        <v>183</v>
      </c>
      <c r="F147" s="12">
        <f>ROUNDUP(F141*100^2/$B147,0)</f>
        <v>183</v>
      </c>
      <c r="G147" s="12">
        <f t="shared" si="38"/>
        <v>183</v>
      </c>
      <c r="H147" s="12">
        <f>ROUNDUP(H141*100^2/$B147,0)</f>
        <v>183</v>
      </c>
      <c r="I147" s="12">
        <f t="shared" si="38"/>
        <v>182</v>
      </c>
      <c r="J147" s="12">
        <f>ROUNDUP(J141*100^2/$B147,0)</f>
        <v>181</v>
      </c>
      <c r="K147" s="12">
        <f t="shared" si="38"/>
        <v>179</v>
      </c>
      <c r="L147" s="12">
        <f>ROUNDUP(L141*100^2/$B147,0)</f>
        <v>178</v>
      </c>
      <c r="M147" s="12">
        <f t="shared" si="38"/>
        <v>177</v>
      </c>
      <c r="N147" s="12">
        <f>ROUNDUP(N141*100^2/$B147,0)</f>
        <v>176</v>
      </c>
      <c r="O147" s="12">
        <f t="shared" si="38"/>
        <v>175</v>
      </c>
      <c r="P147" s="12">
        <f>ROUNDUP(P141*100^2/$B147,0)</f>
        <v>174</v>
      </c>
      <c r="Q147" s="12">
        <f t="shared" si="38"/>
        <v>172</v>
      </c>
      <c r="R147" s="12">
        <f>ROUNDUP(R141*100^2/$B147,0)</f>
        <v>171</v>
      </c>
      <c r="S147" s="12">
        <f t="shared" si="38"/>
        <v>170</v>
      </c>
      <c r="T147" s="12">
        <f>ROUNDUP(T141*100^2/$B147,0)</f>
        <v>169</v>
      </c>
      <c r="U147" s="12">
        <f t="shared" si="38"/>
        <v>168</v>
      </c>
      <c r="V147" s="12">
        <f>ROUNDUP(V141*100^2/$B147,0)</f>
        <v>167</v>
      </c>
      <c r="W147" s="12">
        <f t="shared" si="38"/>
        <v>165</v>
      </c>
      <c r="X147" s="12">
        <f>ROUNDUP(X141*100^2/$B147,0)</f>
        <v>164</v>
      </c>
      <c r="Y147" s="12">
        <f t="shared" si="38"/>
        <v>163</v>
      </c>
      <c r="Z147" s="12">
        <f>ROUNDUP(Z141*100^2/$B147,0)</f>
        <v>162</v>
      </c>
      <c r="AA147" s="12">
        <f t="shared" si="38"/>
        <v>161</v>
      </c>
      <c r="AB147" s="12">
        <f>ROUNDUP(AB141*100^2/$B147,0)</f>
        <v>160</v>
      </c>
      <c r="AC147" s="12">
        <f t="shared" si="38"/>
        <v>158</v>
      </c>
      <c r="AD147" s="12">
        <f>ROUNDUP(AD141*100^2/$B147,0)</f>
        <v>157</v>
      </c>
      <c r="AE147" s="12">
        <f t="shared" si="38"/>
        <v>156</v>
      </c>
      <c r="AF147" s="12">
        <f>ROUNDUP(AF141*100^2/$B147,0)</f>
        <v>155</v>
      </c>
      <c r="AG147" s="12">
        <f t="shared" si="38"/>
        <v>154</v>
      </c>
      <c r="AH147" s="12">
        <f>ROUNDUP(AH141*100^2/$B147,0)</f>
        <v>153</v>
      </c>
      <c r="AI147" s="12">
        <f t="shared" si="38"/>
        <v>151</v>
      </c>
      <c r="AJ147" s="12">
        <f>ROUNDUP(AJ141*100^2/$B147,0)</f>
        <v>150</v>
      </c>
      <c r="AK147" s="12">
        <f t="shared" si="38"/>
        <v>149</v>
      </c>
    </row>
    <row r="148" spans="1:37" ht="15">
      <c r="A148" s="9">
        <v>16200</v>
      </c>
      <c r="B148" s="9">
        <v>300</v>
      </c>
      <c r="C148" s="12">
        <f aca="true" t="shared" si="39" ref="C148:AK148">ROUNDUP(C141*100^2/$B148,0)</f>
        <v>153</v>
      </c>
      <c r="D148" s="12">
        <f>ROUNDUP(D141*100^2/$B148,0)</f>
        <v>153</v>
      </c>
      <c r="E148" s="12">
        <f t="shared" si="39"/>
        <v>153</v>
      </c>
      <c r="F148" s="12">
        <f>ROUNDUP(F141*100^2/$B148,0)</f>
        <v>153</v>
      </c>
      <c r="G148" s="12">
        <f t="shared" si="39"/>
        <v>153</v>
      </c>
      <c r="H148" s="12">
        <f>ROUNDUP(H141*100^2/$B148,0)</f>
        <v>152</v>
      </c>
      <c r="I148" s="12">
        <f t="shared" si="39"/>
        <v>151</v>
      </c>
      <c r="J148" s="12">
        <f>ROUNDUP(J141*100^2/$B148,0)</f>
        <v>151</v>
      </c>
      <c r="K148" s="12">
        <f t="shared" si="39"/>
        <v>150</v>
      </c>
      <c r="L148" s="12">
        <f>ROUNDUP(L141*100^2/$B148,0)</f>
        <v>149</v>
      </c>
      <c r="M148" s="12">
        <f t="shared" si="39"/>
        <v>148</v>
      </c>
      <c r="N148" s="12">
        <f>ROUNDUP(N141*100^2/$B148,0)</f>
        <v>147</v>
      </c>
      <c r="O148" s="12">
        <f t="shared" si="39"/>
        <v>146</v>
      </c>
      <c r="P148" s="12">
        <f>ROUNDUP(P141*100^2/$B148,0)</f>
        <v>145</v>
      </c>
      <c r="Q148" s="12">
        <f t="shared" si="39"/>
        <v>144</v>
      </c>
      <c r="R148" s="12">
        <f>ROUNDUP(R141*100^2/$B148,0)</f>
        <v>143</v>
      </c>
      <c r="S148" s="12">
        <f t="shared" si="39"/>
        <v>142</v>
      </c>
      <c r="T148" s="12">
        <f>ROUNDUP(T141*100^2/$B148,0)</f>
        <v>141</v>
      </c>
      <c r="U148" s="12">
        <f t="shared" si="39"/>
        <v>140</v>
      </c>
      <c r="V148" s="12">
        <f>ROUNDUP(V141*100^2/$B148,0)</f>
        <v>139</v>
      </c>
      <c r="W148" s="12">
        <f t="shared" si="39"/>
        <v>138</v>
      </c>
      <c r="X148" s="12">
        <f>ROUNDUP(X141*100^2/$B148,0)</f>
        <v>137</v>
      </c>
      <c r="Y148" s="12">
        <f t="shared" si="39"/>
        <v>136</v>
      </c>
      <c r="Z148" s="12">
        <f>ROUNDUP(Z141*100^2/$B148,0)</f>
        <v>135</v>
      </c>
      <c r="AA148" s="12">
        <f t="shared" si="39"/>
        <v>134</v>
      </c>
      <c r="AB148" s="12">
        <f>ROUNDUP(AB141*100^2/$B148,0)</f>
        <v>133</v>
      </c>
      <c r="AC148" s="12">
        <f t="shared" si="39"/>
        <v>132</v>
      </c>
      <c r="AD148" s="12">
        <f>ROUNDUP(AD141*100^2/$B148,0)</f>
        <v>131</v>
      </c>
      <c r="AE148" s="12">
        <f t="shared" si="39"/>
        <v>130</v>
      </c>
      <c r="AF148" s="12">
        <f>ROUNDUP(AF141*100^2/$B148,0)</f>
        <v>129</v>
      </c>
      <c r="AG148" s="12">
        <f t="shared" si="39"/>
        <v>128</v>
      </c>
      <c r="AH148" s="12">
        <f>ROUNDUP(AH141*100^2/$B148,0)</f>
        <v>127</v>
      </c>
      <c r="AI148" s="12">
        <f t="shared" si="39"/>
        <v>126</v>
      </c>
      <c r="AJ148" s="12">
        <f>ROUNDUP(AJ141*100^2/$B148,0)</f>
        <v>125</v>
      </c>
      <c r="AK148" s="12">
        <f t="shared" si="39"/>
        <v>124</v>
      </c>
    </row>
    <row r="149" spans="1:37" ht="15">
      <c r="A149" s="9" t="s">
        <v>61</v>
      </c>
      <c r="B149" s="9">
        <v>350</v>
      </c>
      <c r="C149" s="12">
        <f aca="true" t="shared" si="40" ref="C149:AK149">ROUNDUP(C141*100^2/$B149,0)</f>
        <v>131</v>
      </c>
      <c r="D149" s="12">
        <f>ROUNDUP(D141*100^2/$B149,0)</f>
        <v>131</v>
      </c>
      <c r="E149" s="12">
        <f t="shared" si="40"/>
        <v>131</v>
      </c>
      <c r="F149" s="12">
        <f>ROUNDUP(F141*100^2/$B149,0)</f>
        <v>131</v>
      </c>
      <c r="G149" s="12">
        <f t="shared" si="40"/>
        <v>131</v>
      </c>
      <c r="H149" s="12">
        <f>ROUNDUP(H141*100^2/$B149,0)</f>
        <v>131</v>
      </c>
      <c r="I149" s="12">
        <f t="shared" si="40"/>
        <v>130</v>
      </c>
      <c r="J149" s="12">
        <f>ROUNDUP(J141*100^2/$B149,0)</f>
        <v>129</v>
      </c>
      <c r="K149" s="12">
        <f t="shared" si="40"/>
        <v>128</v>
      </c>
      <c r="L149" s="12">
        <f>ROUNDUP(L141*100^2/$B149,0)</f>
        <v>127</v>
      </c>
      <c r="M149" s="12">
        <f t="shared" si="40"/>
        <v>127</v>
      </c>
      <c r="N149" s="12">
        <f>ROUNDUP(N141*100^2/$B149,0)</f>
        <v>126</v>
      </c>
      <c r="O149" s="12">
        <f t="shared" si="40"/>
        <v>125</v>
      </c>
      <c r="P149" s="12">
        <f>ROUNDUP(P141*100^2/$B149,0)</f>
        <v>124</v>
      </c>
      <c r="Q149" s="12">
        <f t="shared" si="40"/>
        <v>123</v>
      </c>
      <c r="R149" s="12">
        <f>ROUNDUP(R141*100^2/$B149,0)</f>
        <v>122</v>
      </c>
      <c r="S149" s="12">
        <f t="shared" si="40"/>
        <v>122</v>
      </c>
      <c r="T149" s="12">
        <f>ROUNDUP(T141*100^2/$B149,0)</f>
        <v>121</v>
      </c>
      <c r="U149" s="12">
        <f t="shared" si="40"/>
        <v>120</v>
      </c>
      <c r="V149" s="12">
        <f>ROUNDUP(V141*100^2/$B149,0)</f>
        <v>119</v>
      </c>
      <c r="W149" s="12">
        <f t="shared" si="40"/>
        <v>118</v>
      </c>
      <c r="X149" s="12">
        <f>ROUNDUP(X141*100^2/$B149,0)</f>
        <v>117</v>
      </c>
      <c r="Y149" s="12">
        <f t="shared" si="40"/>
        <v>117</v>
      </c>
      <c r="Z149" s="12">
        <f>ROUNDUP(Z141*100^2/$B149,0)</f>
        <v>116</v>
      </c>
      <c r="AA149" s="12">
        <f t="shared" si="40"/>
        <v>115</v>
      </c>
      <c r="AB149" s="12">
        <f>ROUNDUP(AB141*100^2/$B149,0)</f>
        <v>114</v>
      </c>
      <c r="AC149" s="12">
        <f t="shared" si="40"/>
        <v>113</v>
      </c>
      <c r="AD149" s="12">
        <f>ROUNDUP(AD141*100^2/$B149,0)</f>
        <v>112</v>
      </c>
      <c r="AE149" s="12">
        <f t="shared" si="40"/>
        <v>112</v>
      </c>
      <c r="AF149" s="12">
        <f>ROUNDUP(AF141*100^2/$B149,0)</f>
        <v>111</v>
      </c>
      <c r="AG149" s="12">
        <f t="shared" si="40"/>
        <v>110</v>
      </c>
      <c r="AH149" s="12">
        <f>ROUNDUP(AH141*100^2/$B149,0)</f>
        <v>109</v>
      </c>
      <c r="AI149" s="12">
        <f t="shared" si="40"/>
        <v>108</v>
      </c>
      <c r="AJ149" s="12">
        <f>ROUNDUP(AJ141*100^2/$B149,0)</f>
        <v>108</v>
      </c>
      <c r="AK149" s="12">
        <f t="shared" si="40"/>
        <v>107</v>
      </c>
    </row>
    <row r="150" spans="1:37" ht="15">
      <c r="A150" s="13">
        <v>105</v>
      </c>
      <c r="B150" s="13">
        <v>400</v>
      </c>
      <c r="C150" s="14">
        <f aca="true" t="shared" si="41" ref="C150:AK150">ROUNDUP(C141*100^2/$B150,0)</f>
        <v>115</v>
      </c>
      <c r="D150" s="14">
        <f>ROUNDUP(D141*100^2/$B150,0)</f>
        <v>115</v>
      </c>
      <c r="E150" s="14">
        <f t="shared" si="41"/>
        <v>115</v>
      </c>
      <c r="F150" s="14">
        <f>ROUNDUP(F141*100^2/$B150,0)</f>
        <v>115</v>
      </c>
      <c r="G150" s="14">
        <f t="shared" si="41"/>
        <v>115</v>
      </c>
      <c r="H150" s="14">
        <f>ROUNDUP(H141*100^2/$B150,0)</f>
        <v>114</v>
      </c>
      <c r="I150" s="14">
        <f t="shared" si="41"/>
        <v>114</v>
      </c>
      <c r="J150" s="14">
        <f>ROUNDUP(J141*100^2/$B150,0)</f>
        <v>113</v>
      </c>
      <c r="K150" s="14">
        <f t="shared" si="41"/>
        <v>112</v>
      </c>
      <c r="L150" s="14">
        <f>ROUNDUP(L141*100^2/$B150,0)</f>
        <v>112</v>
      </c>
      <c r="M150" s="14">
        <f t="shared" si="41"/>
        <v>111</v>
      </c>
      <c r="N150" s="14">
        <f>ROUNDUP(N141*100^2/$B150,0)</f>
        <v>110</v>
      </c>
      <c r="O150" s="14">
        <f t="shared" si="41"/>
        <v>109</v>
      </c>
      <c r="P150" s="14">
        <f>ROUNDUP(P141*100^2/$B150,0)</f>
        <v>109</v>
      </c>
      <c r="Q150" s="14">
        <f t="shared" si="41"/>
        <v>108</v>
      </c>
      <c r="R150" s="14">
        <f>ROUNDUP(R141*100^2/$B150,0)</f>
        <v>107</v>
      </c>
      <c r="S150" s="14">
        <f t="shared" si="41"/>
        <v>106</v>
      </c>
      <c r="T150" s="14">
        <f>ROUNDUP(T141*100^2/$B150,0)</f>
        <v>106</v>
      </c>
      <c r="U150" s="14">
        <f t="shared" si="41"/>
        <v>105</v>
      </c>
      <c r="V150" s="14">
        <f>ROUNDUP(V141*100^2/$B150,0)</f>
        <v>104</v>
      </c>
      <c r="W150" s="14">
        <f t="shared" si="41"/>
        <v>104</v>
      </c>
      <c r="X150" s="14">
        <f>ROUNDUP(X141*100^2/$B150,0)</f>
        <v>103</v>
      </c>
      <c r="Y150" s="14">
        <f t="shared" si="41"/>
        <v>102</v>
      </c>
      <c r="Z150" s="14">
        <f>ROUNDUP(Z141*100^2/$B150,0)</f>
        <v>101</v>
      </c>
      <c r="AA150" s="14">
        <f t="shared" si="41"/>
        <v>101</v>
      </c>
      <c r="AB150" s="14">
        <f>ROUNDUP(AB141*100^2/$B150,0)</f>
        <v>100</v>
      </c>
      <c r="AC150" s="14">
        <f t="shared" si="41"/>
        <v>99</v>
      </c>
      <c r="AD150" s="14">
        <f>ROUNDUP(AD141*100^2/$B150,0)</f>
        <v>98</v>
      </c>
      <c r="AE150" s="14">
        <f t="shared" si="41"/>
        <v>98</v>
      </c>
      <c r="AF150" s="14">
        <f>ROUNDUP(AF141*100^2/$B150,0)</f>
        <v>97</v>
      </c>
      <c r="AG150" s="14">
        <f t="shared" si="41"/>
        <v>96</v>
      </c>
      <c r="AH150" s="14">
        <f>ROUNDUP(AH141*100^2/$B150,0)</f>
        <v>96</v>
      </c>
      <c r="AI150" s="14">
        <f t="shared" si="41"/>
        <v>95</v>
      </c>
      <c r="AJ150" s="14">
        <f>ROUNDUP(AJ141*100^2/$B150,0)</f>
        <v>94</v>
      </c>
      <c r="AK150" s="14">
        <f t="shared" si="41"/>
        <v>93</v>
      </c>
    </row>
    <row r="151" spans="1:37" ht="18">
      <c r="A151" t="s">
        <v>178</v>
      </c>
      <c r="C151">
        <f>IF(C110=Dimensioneringsark!$G$9,Dimensioneringsark!$F$17,0)</f>
        <v>0</v>
      </c>
      <c r="D151">
        <f>IF(D110=Dimensioneringsark!$G$9,Dimensioneringsark!$F$17,0)</f>
        <v>0</v>
      </c>
      <c r="E151">
        <f>IF(E110=Dimensioneringsark!$G$9,Dimensioneringsark!$F$17,0)</f>
        <v>0</v>
      </c>
      <c r="F151">
        <f>IF(F110=Dimensioneringsark!$G$9,Dimensioneringsark!$F$17,0)</f>
        <v>0</v>
      </c>
      <c r="G151">
        <f>IF(G110=Dimensioneringsark!$G$9,Dimensioneringsark!$F$17,0)</f>
        <v>0</v>
      </c>
      <c r="H151">
        <f>IF(H110=Dimensioneringsark!$G$9,Dimensioneringsark!$F$17,0)</f>
        <v>0</v>
      </c>
      <c r="I151">
        <f>IF(I110=Dimensioneringsark!$G$9,Dimensioneringsark!$F$17,0)</f>
        <v>0</v>
      </c>
      <c r="J151">
        <f>IF(J110=Dimensioneringsark!$G$9,Dimensioneringsark!$F$17,0)</f>
        <v>0</v>
      </c>
      <c r="K151">
        <f>IF(K110=Dimensioneringsark!$G$9,Dimensioneringsark!$F$17,0)</f>
        <v>0</v>
      </c>
      <c r="L151">
        <f>IF(L110=Dimensioneringsark!$G$9,Dimensioneringsark!$F$17,0)</f>
        <v>0</v>
      </c>
      <c r="M151">
        <f>IF(M110=Dimensioneringsark!$G$9,Dimensioneringsark!$F$17,0)</f>
        <v>0</v>
      </c>
      <c r="N151">
        <f>IF(N110=Dimensioneringsark!$G$9,Dimensioneringsark!$F$17,0)</f>
        <v>0</v>
      </c>
      <c r="O151">
        <f>IF(O110=Dimensioneringsark!$G$9,Dimensioneringsark!$F$17,0)</f>
        <v>0</v>
      </c>
      <c r="P151">
        <f>IF(P110=Dimensioneringsark!$G$9,Dimensioneringsark!$F$17,0)</f>
        <v>0</v>
      </c>
      <c r="Q151">
        <f>IF(Q110=Dimensioneringsark!$G$9,Dimensioneringsark!$F$17,0)</f>
        <v>1.785</v>
      </c>
      <c r="R151">
        <f>IF(R110=Dimensioneringsark!$G$9,Dimensioneringsark!$F$17,0)</f>
        <v>0</v>
      </c>
      <c r="S151">
        <f>IF(S110=Dimensioneringsark!$G$9,Dimensioneringsark!$F$17,0)</f>
        <v>0</v>
      </c>
      <c r="T151">
        <f>IF(T110=Dimensioneringsark!$G$9,Dimensioneringsark!$F$17,0)</f>
        <v>0</v>
      </c>
      <c r="U151">
        <f>IF(U110=Dimensioneringsark!$G$9,Dimensioneringsark!$F$17,0)</f>
        <v>0</v>
      </c>
      <c r="V151">
        <f>IF(V110=Dimensioneringsark!$G$9,Dimensioneringsark!$F$17,0)</f>
        <v>0</v>
      </c>
      <c r="W151">
        <f>IF(W110=Dimensioneringsark!$G$9,Dimensioneringsark!$F$17,0)</f>
        <v>0</v>
      </c>
      <c r="X151">
        <f>IF(X110=Dimensioneringsark!$G$9,Dimensioneringsark!$F$17,0)</f>
        <v>0</v>
      </c>
      <c r="Y151">
        <f>IF(Y110=Dimensioneringsark!$G$9,Dimensioneringsark!$F$17,0)</f>
        <v>0</v>
      </c>
      <c r="Z151">
        <f>IF(Z110=Dimensioneringsark!$G$9,Dimensioneringsark!$F$17,0)</f>
        <v>0</v>
      </c>
      <c r="AA151">
        <f>IF(AA110=Dimensioneringsark!$G$9,Dimensioneringsark!$F$17,0)</f>
        <v>0</v>
      </c>
      <c r="AB151">
        <f>IF(AB110=Dimensioneringsark!$G$9,Dimensioneringsark!$F$17,0)</f>
        <v>0</v>
      </c>
      <c r="AC151">
        <f>IF(AC110=Dimensioneringsark!$G$9,Dimensioneringsark!$F$17,0)</f>
        <v>0</v>
      </c>
      <c r="AD151">
        <f>IF(AD110=Dimensioneringsark!$G$9,Dimensioneringsark!$F$17,0)</f>
        <v>0</v>
      </c>
      <c r="AE151">
        <f>IF(AE110=Dimensioneringsark!$G$9,Dimensioneringsark!$F$17,0)</f>
        <v>0</v>
      </c>
      <c r="AF151">
        <f>IF(AF110=Dimensioneringsark!$G$9,Dimensioneringsark!$F$17,0)</f>
        <v>0</v>
      </c>
      <c r="AG151">
        <f>IF(AG110=Dimensioneringsark!$G$9,Dimensioneringsark!$F$17,0)</f>
        <v>0</v>
      </c>
      <c r="AH151">
        <f>IF(AH110=Dimensioneringsark!$G$9,Dimensioneringsark!$F$17,0)</f>
        <v>0</v>
      </c>
      <c r="AI151">
        <f>IF(AI110=Dimensioneringsark!$G$9,Dimensioneringsark!$F$17,0)</f>
        <v>0</v>
      </c>
      <c r="AJ151">
        <f>IF(AJ110=Dimensioneringsark!$G$9,Dimensioneringsark!$F$17,0)</f>
        <v>0</v>
      </c>
      <c r="AK151">
        <f>IF(AK110=Dimensioneringsark!$G$9,Dimensioneringsark!$F$17,0)</f>
        <v>0</v>
      </c>
    </row>
  </sheetData>
  <sheetProtection/>
  <mergeCells count="152">
    <mergeCell ref="A102:A103"/>
    <mergeCell ref="A104:A105"/>
    <mergeCell ref="A109:A110"/>
    <mergeCell ref="B109:B110"/>
    <mergeCell ref="B111:B112"/>
    <mergeCell ref="C111:C112"/>
    <mergeCell ref="E111:E112"/>
    <mergeCell ref="G111:G112"/>
    <mergeCell ref="AK111:AK112"/>
    <mergeCell ref="Y111:Y112"/>
    <mergeCell ref="AA111:AA112"/>
    <mergeCell ref="AC111:AC112"/>
    <mergeCell ref="AE111:AE112"/>
    <mergeCell ref="AF111:AF112"/>
    <mergeCell ref="AH111:AH112"/>
    <mergeCell ref="AJ111:AJ112"/>
    <mergeCell ref="X111:X112"/>
    <mergeCell ref="Z111:Z112"/>
    <mergeCell ref="AB111:AB112"/>
    <mergeCell ref="AD111:AD112"/>
    <mergeCell ref="AG111:AG112"/>
    <mergeCell ref="AI111:AI112"/>
    <mergeCell ref="B113:B114"/>
    <mergeCell ref="B121:B122"/>
    <mergeCell ref="C121:C122"/>
    <mergeCell ref="E121:E122"/>
    <mergeCell ref="G121:G122"/>
    <mergeCell ref="I121:I122"/>
    <mergeCell ref="K121:K122"/>
    <mergeCell ref="U111:U112"/>
    <mergeCell ref="W111:W112"/>
    <mergeCell ref="I111:I112"/>
    <mergeCell ref="K111:K112"/>
    <mergeCell ref="M111:M112"/>
    <mergeCell ref="O111:O112"/>
    <mergeCell ref="Q111:Q112"/>
    <mergeCell ref="S111:S112"/>
    <mergeCell ref="D121:D122"/>
    <mergeCell ref="F121:F122"/>
    <mergeCell ref="H121:H122"/>
    <mergeCell ref="J121:J122"/>
    <mergeCell ref="L121:L122"/>
    <mergeCell ref="N121:N122"/>
    <mergeCell ref="P121:P122"/>
    <mergeCell ref="T111:T112"/>
    <mergeCell ref="V111:V112"/>
    <mergeCell ref="AK121:AK122"/>
    <mergeCell ref="B123:B124"/>
    <mergeCell ref="B131:B132"/>
    <mergeCell ref="C131:C132"/>
    <mergeCell ref="E131:E132"/>
    <mergeCell ref="G131:G132"/>
    <mergeCell ref="I131:I132"/>
    <mergeCell ref="K131:K132"/>
    <mergeCell ref="M131:M132"/>
    <mergeCell ref="O131:O132"/>
    <mergeCell ref="Y121:Y122"/>
    <mergeCell ref="AA121:AA122"/>
    <mergeCell ref="AC121:AC122"/>
    <mergeCell ref="AE121:AE122"/>
    <mergeCell ref="AG121:AG122"/>
    <mergeCell ref="AI121:AI122"/>
    <mergeCell ref="M121:M122"/>
    <mergeCell ref="O121:O122"/>
    <mergeCell ref="Q121:Q122"/>
    <mergeCell ref="S121:S122"/>
    <mergeCell ref="U121:U122"/>
    <mergeCell ref="W121:W122"/>
    <mergeCell ref="R121:R122"/>
    <mergeCell ref="T121:T122"/>
    <mergeCell ref="AK131:AK132"/>
    <mergeCell ref="B133:B134"/>
    <mergeCell ref="V131:V132"/>
    <mergeCell ref="X131:X132"/>
    <mergeCell ref="Z131:Z132"/>
    <mergeCell ref="AB131:AB132"/>
    <mergeCell ref="Q131:Q132"/>
    <mergeCell ref="S131:S132"/>
    <mergeCell ref="U131:U132"/>
    <mergeCell ref="W131:W132"/>
    <mergeCell ref="Y131:Y132"/>
    <mergeCell ref="AA131:AA132"/>
    <mergeCell ref="B141:B142"/>
    <mergeCell ref="C141:C142"/>
    <mergeCell ref="E141:E142"/>
    <mergeCell ref="G141:G142"/>
    <mergeCell ref="I141:I142"/>
    <mergeCell ref="K141:K142"/>
    <mergeCell ref="AC131:AC132"/>
    <mergeCell ref="AE131:AE132"/>
    <mergeCell ref="AG131:AG132"/>
    <mergeCell ref="D141:D142"/>
    <mergeCell ref="F141:F142"/>
    <mergeCell ref="H141:H142"/>
    <mergeCell ref="J141:J142"/>
    <mergeCell ref="L141:L142"/>
    <mergeCell ref="N141:N142"/>
    <mergeCell ref="T141:T142"/>
    <mergeCell ref="V141:V142"/>
    <mergeCell ref="AK141:AK142"/>
    <mergeCell ref="B143:B144"/>
    <mergeCell ref="D111:D112"/>
    <mergeCell ref="F111:F112"/>
    <mergeCell ref="H111:H112"/>
    <mergeCell ref="J111:J112"/>
    <mergeCell ref="L111:L112"/>
    <mergeCell ref="N111:N112"/>
    <mergeCell ref="P111:P112"/>
    <mergeCell ref="R111:R112"/>
    <mergeCell ref="Y141:Y142"/>
    <mergeCell ref="AA141:AA142"/>
    <mergeCell ref="AC141:AC142"/>
    <mergeCell ref="AE141:AE142"/>
    <mergeCell ref="AG141:AG142"/>
    <mergeCell ref="AI141:AI142"/>
    <mergeCell ref="M141:M142"/>
    <mergeCell ref="O141:O142"/>
    <mergeCell ref="Q141:Q142"/>
    <mergeCell ref="S141:S142"/>
    <mergeCell ref="U141:U142"/>
    <mergeCell ref="W141:W142"/>
    <mergeCell ref="P141:P142"/>
    <mergeCell ref="R141:R142"/>
    <mergeCell ref="AJ121:AJ122"/>
    <mergeCell ref="D131:D132"/>
    <mergeCell ref="F131:F132"/>
    <mergeCell ref="H131:H132"/>
    <mergeCell ref="J131:J132"/>
    <mergeCell ref="L131:L132"/>
    <mergeCell ref="N131:N132"/>
    <mergeCell ref="P131:P132"/>
    <mergeCell ref="R131:R132"/>
    <mergeCell ref="T131:T132"/>
    <mergeCell ref="X121:X122"/>
    <mergeCell ref="Z121:Z122"/>
    <mergeCell ref="AB121:AB122"/>
    <mergeCell ref="AD121:AD122"/>
    <mergeCell ref="AF121:AF122"/>
    <mergeCell ref="AH121:AH122"/>
    <mergeCell ref="V121:V122"/>
    <mergeCell ref="AJ141:AJ142"/>
    <mergeCell ref="X141:X142"/>
    <mergeCell ref="Z141:Z142"/>
    <mergeCell ref="AB141:AB142"/>
    <mergeCell ref="AD141:AD142"/>
    <mergeCell ref="AF141:AF142"/>
    <mergeCell ref="AH141:AH142"/>
    <mergeCell ref="AD131:AD132"/>
    <mergeCell ref="AF131:AF132"/>
    <mergeCell ref="AH131:AH132"/>
    <mergeCell ref="AJ131:AJ132"/>
    <mergeCell ref="AI131:AI132"/>
  </mergeCells>
  <printOptions/>
  <pageMargins left="0.7" right="0.7" top="0.75" bottom="0.75" header="0.3" footer="0.3"/>
  <pageSetup orientation="portrait" paperSize="9" r:id="rId6"/>
  <drawing r:id="rId5"/>
  <legacyDrawing r:id="rId4"/>
  <oleObjects>
    <oleObject progId="Equation.3" shapeId="896704" r:id="rId1"/>
    <oleObject progId="Equation.3" shapeId="896703" r:id="rId2"/>
    <oleObject progId="Equation.3" shapeId="89670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Lindab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Jeppe Bak</dc:creator>
  <cp:keywords/>
  <dc:description/>
  <cp:lastModifiedBy>Hansen Birgitte Kjær</cp:lastModifiedBy>
  <cp:lastPrinted>2010-11-12T11:25:17Z</cp:lastPrinted>
  <dcterms:created xsi:type="dcterms:W3CDTF">2010-03-11T14:55:38Z</dcterms:created>
  <dcterms:modified xsi:type="dcterms:W3CDTF">2013-11-18T13:33:07Z</dcterms:modified>
  <cp:category/>
  <cp:version/>
  <cp:contentType/>
  <cp:contentStatus/>
</cp:coreProperties>
</file>